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цели'!$A$1:$AF$90</definedName>
    <definedName name="_xlnm.Print_Area" localSheetId="1">'Раздел 1'!$A$1:$AM$102</definedName>
    <definedName name="_xlnm.Print_Area" localSheetId="2">'Раздел 2 '!$A$1:$O$68</definedName>
    <definedName name="_xlnm.Print_Area" localSheetId="11">'Расчеты обоснования '!$B$1:$P$334</definedName>
    <definedName name="_xlnm.Print_Area" localSheetId="9">'Сведения о пост. ср-х'!$A$1:$C$36</definedName>
  </definedNames>
  <calcPr fullCalcOnLoad="1" iterate="1" iterateCount="100" iterateDelta="0.001"/>
</workbook>
</file>

<file path=xl/sharedStrings.xml><?xml version="1.0" encoding="utf-8"?>
<sst xmlns="http://schemas.openxmlformats.org/spreadsheetml/2006/main" count="2033" uniqueCount="595">
  <si>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</si>
  <si>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</si>
  <si>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</si>
  <si>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</si>
  <si>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</si>
  <si>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</si>
  <si>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</si>
  <si>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</si>
  <si>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</si>
  <si>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</si>
  <si>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</si>
  <si>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</si>
  <si>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</si>
  <si>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</si>
  <si>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</si>
  <si>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</si>
  <si>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</si>
  <si>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</si>
  <si>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</si>
  <si>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</si>
  <si>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</si>
  <si>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</si>
  <si>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</si>
  <si>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</si>
  <si>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</si>
  <si>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</si>
  <si>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</si>
  <si>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</si>
  <si>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</si>
  <si>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</si>
  <si>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</si>
  <si>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</si>
  <si>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</si>
  <si>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</si>
  <si>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</si>
  <si>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</si>
  <si>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</si>
  <si>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</si>
  <si>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</si>
  <si>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</si>
  <si>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</si>
  <si>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</si>
  <si>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</si>
  <si>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</si>
  <si>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</si>
  <si>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</si>
  <si>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</si>
  <si>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</si>
  <si>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</si>
  <si>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</si>
  <si>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</si>
  <si>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</si>
  <si>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</si>
  <si>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</si>
  <si>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</si>
  <si>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</si>
  <si>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</si>
  <si>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</si>
  <si>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</si>
  <si>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</si>
  <si>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</si>
  <si>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</si>
  <si>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</si>
  <si>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</si>
  <si>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</si>
  <si>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</si>
  <si>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</si>
  <si>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</si>
  <si>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</si>
  <si>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</si>
  <si>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</si>
  <si>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</si>
  <si>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</si>
  <si>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</si>
  <si>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</si>
  <si>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</si>
  <si>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</si>
  <si>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</si>
  <si>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</si>
  <si>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</si>
  <si>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</si>
  <si>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</si>
  <si>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</si>
  <si>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</si>
  <si>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</si>
  <si>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</si>
  <si>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</si>
  <si>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</si>
  <si>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</si>
  <si>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</si>
  <si>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</si>
  <si>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</si>
  <si>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</si>
  <si>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</si>
  <si>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</si>
  <si>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</si>
  <si>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</si>
  <si>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</si>
  <si>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</si>
  <si>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</si>
  <si>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</si>
  <si>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</si>
  <si>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</si>
  <si>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</si>
  <si>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</si>
  <si>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</si>
  <si>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</si>
  <si>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</si>
  <si>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</si>
  <si>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</si>
  <si>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</si>
  <si>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</si>
  <si>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</si>
  <si>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</si>
  <si>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</si>
  <si>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</si>
  <si>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</si>
  <si>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</si>
  <si>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</si>
  <si>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</si>
  <si>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</si>
  <si>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</si>
  <si>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</si>
  <si>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</si>
  <si>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</si>
  <si>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</si>
  <si>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</si>
  <si>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</si>
  <si>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</si>
  <si>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</si>
  <si>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</si>
  <si>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</si>
  <si>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</si>
  <si>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</si>
  <si>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</si>
  <si>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</si>
  <si>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</si>
  <si>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</si>
  <si>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</si>
  <si>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</si>
  <si>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</si>
  <si>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</si>
  <si>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</si>
  <si>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</si>
  <si>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</si>
  <si>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</si>
  <si>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</si>
  <si>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</si>
  <si>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</si>
  <si>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</si>
  <si>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</si>
  <si>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</si>
  <si>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</si>
  <si>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</si>
  <si>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</si>
  <si>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</si>
  <si>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</si>
  <si>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</si>
  <si>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</si>
  <si>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</si>
  <si>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</si>
  <si>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</si>
  <si>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</si>
  <si>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</si>
  <si>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</si>
  <si>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</si>
  <si>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</si>
  <si>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</si>
  <si>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</si>
  <si>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</si>
  <si>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</si>
  <si>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</si>
  <si>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</si>
  <si>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</si>
  <si>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</si>
  <si>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</si>
  <si>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</si>
  <si>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</si>
  <si>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</si>
  <si>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</si>
  <si>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</si>
  <si>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</si>
  <si>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</si>
  <si>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</si>
  <si>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</si>
  <si>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</si>
  <si>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</si>
  <si>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</si>
  <si>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</si>
  <si>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</si>
  <si>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</si>
  <si>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</si>
  <si>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</si>
  <si>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</si>
  <si>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</si>
  <si>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</si>
  <si>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</si>
  <si>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</si>
  <si>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</si>
  <si>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</si>
  <si>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</si>
  <si>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</si>
  <si>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</si>
  <si>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</si>
  <si>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</si>
  <si>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</si>
  <si>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</si>
  <si>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</si>
  <si>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</si>
  <si>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</si>
  <si>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</si>
  <si>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</si>
  <si>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</si>
  <si>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</si>
  <si>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</si>
  <si>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</si>
  <si>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</si>
  <si>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</si>
  <si>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</si>
  <si>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</si>
  <si>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</si>
  <si>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</si>
  <si>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</si>
  <si>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</si>
  <si>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</si>
  <si>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</si>
  <si>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</si>
  <si>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</si>
  <si>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</si>
  <si>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</si>
  <si>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</si>
  <si>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</si>
  <si>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</si>
  <si>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</si>
  <si>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</si>
  <si>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</si>
  <si>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</si>
  <si>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</si>
  <si>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</si>
  <si>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</si>
  <si>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</si>
  <si>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</si>
  <si>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</si>
  <si>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</si>
  <si>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</si>
  <si>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</si>
  <si>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</si>
  <si>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</si>
  <si>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</si>
  <si>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</si>
  <si>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</si>
  <si>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</si>
  <si>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</si>
  <si>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</si>
  <si>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</si>
  <si>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</si>
  <si>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</si>
  <si>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</si>
  <si>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</si>
  <si>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</si>
  <si>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</si>
  <si>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</si>
  <si>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</si>
  <si>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</si>
  <si>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</si>
  <si>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</si>
  <si>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</si>
  <si>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</si>
  <si>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</si>
  <si>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</si>
  <si>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</si>
  <si>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</si>
  <si>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</si>
  <si>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</si>
  <si>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</si>
  <si>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</si>
  <si>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</si>
  <si>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</si>
  <si>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</si>
  <si>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</si>
  <si>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</si>
  <si>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</si>
  <si>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</si>
  <si>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</si>
  <si>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</si>
  <si>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</si>
  <si>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</si>
  <si>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</si>
  <si>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</si>
  <si>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</si>
  <si>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</si>
  <si>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</si>
  <si>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</si>
  <si>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</si>
  <si>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</si>
  <si>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</si>
  <si>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</si>
  <si>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</si>
  <si>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</si>
  <si>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</si>
  <si>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</si>
  <si>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</si>
  <si>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</si>
  <si>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</si>
  <si>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</si>
  <si>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</si>
  <si>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</si>
  <si>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</si>
  <si>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</si>
  <si>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</si>
  <si>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</si>
  <si>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</si>
  <si>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</si>
  <si>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</si>
  <si>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</si>
  <si>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</si>
  <si>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</si>
  <si>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</si>
  <si>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</si>
  <si>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</si>
  <si>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</si>
  <si>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</si>
  <si>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</si>
  <si>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</si>
  <si>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</si>
  <si>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</si>
  <si>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</si>
  <si>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</si>
  <si>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</si>
  <si>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</si>
  <si>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</si>
  <si>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</si>
  <si>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</si>
  <si>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</si>
  <si>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</si>
  <si>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</si>
  <si>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</si>
  <si>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</si>
  <si>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</si>
  <si>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</si>
  <si>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</si>
  <si>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</si>
  <si>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</si>
  <si>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</si>
  <si>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</si>
  <si>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</si>
  <si>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</si>
  <si>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</si>
  <si>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</si>
  <si>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</si>
  <si>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</si>
  <si>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</si>
  <si>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</si>
  <si>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</si>
  <si>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</si>
  <si>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</si>
  <si>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</si>
  <si>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</si>
  <si>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</si>
  <si>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</si>
  <si>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</si>
  <si>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</si>
  <si>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</si>
  <si>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</si>
  <si>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</si>
  <si>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</si>
  <si>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</si>
  <si>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</si>
  <si>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</si>
  <si>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</si>
  <si>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</si>
  <si>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</si>
  <si>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</si>
  <si>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</si>
  <si>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</si>
  <si>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</si>
  <si>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</si>
  <si>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</si>
  <si>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</si>
  <si>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</si>
  <si>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</si>
  <si>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</si>
  <si>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</si>
  <si>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</si>
  <si>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</si>
  <si>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</si>
  <si>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</si>
  <si>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</si>
  <si>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</si>
  <si>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</si>
  <si>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</si>
  <si>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</si>
  <si>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</si>
  <si>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</si>
  <si>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</si>
  <si>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</si>
  <si>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</si>
  <si>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</si>
  <si>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</si>
  <si>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</si>
  <si>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</si>
  <si>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</si>
  <si>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</si>
  <si>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</si>
  <si>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</si>
  <si>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</si>
  <si>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</si>
  <si>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</si>
  <si>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</si>
  <si>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</si>
  <si>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</si>
  <si>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</si>
  <si>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</si>
  <si>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</si>
  <si>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</si>
  <si>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</si>
  <si>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</si>
  <si>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</si>
  <si>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</si>
  <si>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</si>
  <si>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</si>
  <si>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</si>
  <si>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</si>
  <si>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</si>
  <si>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</si>
  <si>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</si>
  <si>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</si>
  <si>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</si>
  <si>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</si>
  <si>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</si>
  <si>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</si>
  <si>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</si>
  <si>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</si>
  <si>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</si>
  <si>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</si>
  <si>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</si>
  <si>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</si>
  <si>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</si>
  <si>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</si>
  <si>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</si>
  <si>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</si>
  <si>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</si>
  <si>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</si>
  <si>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</si>
  <si>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</si>
  <si>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</si>
  <si>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</si>
  <si>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</si>
  <si>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</si>
  <si>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</si>
  <si>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</si>
  <si>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</si>
  <si>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</si>
  <si>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</si>
  <si>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</si>
  <si>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</si>
  <si>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</si>
  <si>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</si>
  <si>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</si>
  <si>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</si>
  <si>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</si>
  <si>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</si>
  <si>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</si>
  <si>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</si>
  <si>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</si>
  <si>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</si>
  <si>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</si>
  <si>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</si>
  <si>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</si>
  <si>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</si>
  <si>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</si>
  <si>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</si>
  <si>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</si>
  <si>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</si>
  <si>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</si>
  <si>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</si>
  <si>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</si>
  <si>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</si>
  <si>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</si>
  <si>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</si>
  <si>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</si>
  <si>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</si>
  <si>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</si>
  <si>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</si>
  <si>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</si>
  <si>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</si>
  <si>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</si>
  <si>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</si>
  <si>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</si>
  <si>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</si>
  <si>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</si>
  <si>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</si>
  <si>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</si>
  <si>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</si>
  <si>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</si>
  <si>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</si>
  <si>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</si>
  <si>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</si>
  <si>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</si>
  <si>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</si>
  <si>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профилактика несовершеннолетних</t>
  </si>
  <si>
    <t>льгроты села</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</si>
  <si>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</si>
  <si>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</si>
  <si>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</si>
  <si>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</si>
  <si>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</si>
  <si>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</si>
  <si>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</si>
  <si>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</si>
  <si>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</si>
  <si>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</si>
  <si>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</si>
  <si>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</si>
  <si>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</si>
  <si>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аттестаты</t>
  </si>
  <si>
    <t>катриджи</t>
  </si>
  <si>
    <t>Приказ№1201 от 27.01.2023</t>
  </si>
  <si>
    <t>класс.р0во</t>
  </si>
  <si>
    <t>губернаторские мб</t>
  </si>
  <si>
    <t xml:space="preserve">ОВЗ </t>
  </si>
  <si>
    <t>овз</t>
  </si>
  <si>
    <t>Приказ №363 от 09.03.2023</t>
  </si>
  <si>
    <t>трудоустройство</t>
  </si>
  <si>
    <t>Пприказ №301 от 02.03.2023</t>
  </si>
  <si>
    <t>учеба</t>
  </si>
  <si>
    <t>Хоз.нужды</t>
  </si>
  <si>
    <t>Горюче-смазочные материалы</t>
  </si>
  <si>
    <t>Проведение инвентаризации и паспортизации зданий</t>
  </si>
  <si>
    <t>КТС</t>
  </si>
  <si>
    <t>Программное обеспечение</t>
  </si>
  <si>
    <t>Обеспечение систем громко связи</t>
  </si>
  <si>
    <t>Приказ №945 от 30.05.2023</t>
  </si>
  <si>
    <t>вредители</t>
  </si>
  <si>
    <t>на предоставление социальной поддержки семьям, в которых ребенок поступает в первый класс</t>
  </si>
  <si>
    <t>ув.род.платы</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</si>
  <si>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</si>
  <si>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</si>
  <si>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</si>
  <si>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</si>
  <si>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</si>
  <si>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</si>
  <si>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 №1755 от 17.10.2023ПРИКАЗ №372 ОТ 10.03.2023</t>
  </si>
  <si>
    <t>конкурс</t>
  </si>
  <si>
    <t>Приказ №1874 от 22.11.2023Приказ №1678 от 23.10.2023Приказ № 1489 от 21.09.2023</t>
  </si>
  <si>
    <t>Приказ №1970 от 05.12.2023Приказ№115 от27.01.2023</t>
  </si>
  <si>
    <t>НА  2024 ГОД И ПЛАНОВЫЙ ПЕРИОД 2025  И 2026 ГОДОВ</t>
  </si>
  <si>
    <t>на 2024 г. (текущий финансовый год)</t>
  </si>
  <si>
    <t>на 2025 г.                 (1-ый год планового периода)</t>
  </si>
  <si>
    <t>на 2026 г.                   (2-ой год планового периода)</t>
  </si>
  <si>
    <t>Заправка катриджей</t>
  </si>
  <si>
    <t>приобретение игр и игрушек</t>
  </si>
  <si>
    <t>приобретение спортивного оборудования</t>
  </si>
  <si>
    <t>Приказ № 2115 от 29.12.2023</t>
  </si>
  <si>
    <t>Приказ  № 2123 от 29.12.2023</t>
  </si>
  <si>
    <t>класс.р0во (кб)</t>
  </si>
  <si>
    <t>СОЦПОДДЕРЖКА</t>
  </si>
  <si>
    <t>Приказ № 2120 от 29.12.2023</t>
  </si>
  <si>
    <t>губернаторские (мб)</t>
  </si>
  <si>
    <t>Приказ № 2119 от 29.12.2023</t>
  </si>
  <si>
    <t>Приказ №113 от 29.01.2024</t>
  </si>
  <si>
    <t>терроризм ремонт ограждения</t>
  </si>
  <si>
    <t>Приказ №34 от 15.01.2024</t>
  </si>
  <si>
    <t>ремонт ограждения</t>
  </si>
  <si>
    <t>профилактика терроризма в части обеспечения инженерно технической защищенности муниципальных учреждений образования</t>
  </si>
  <si>
    <t>Приказ №131 от 31.01.2024</t>
  </si>
  <si>
    <t>советник</t>
  </si>
  <si>
    <t>советник кб</t>
  </si>
  <si>
    <t>Приказ №128 от 31.01.2024</t>
  </si>
  <si>
    <t>губернат.кр</t>
  </si>
  <si>
    <t>Приказ №170 06.02.2024</t>
  </si>
  <si>
    <t>инициативное бюдджетирование</t>
  </si>
  <si>
    <t>на школьное  инициативное бюджетировнаие</t>
  </si>
  <si>
    <t>Дети Сочи(КБ)</t>
  </si>
  <si>
    <t>Дети Сочи(МБ)</t>
  </si>
  <si>
    <t>моб.автогородок</t>
  </si>
  <si>
    <t>на осуществление мероприятий по предупреждениютского дорожно-транспортного травматизма»</t>
  </si>
  <si>
    <t>приобретение автомобильных городок</t>
  </si>
  <si>
    <t>Приказ №551 от 01.04.2024</t>
  </si>
  <si>
    <t>спорт.об.лет/лаг</t>
  </si>
  <si>
    <t>на обеспечение спортивным оборудованием , инвентарем, канцтоварами профилтьных лагерей ,  организованными муниципальными организациями и лагерей  трпуда и отдыха</t>
  </si>
  <si>
    <t>на поощрение учащихся  и педавгогических работников  экскурсионными поездками  в рамках муниципального проекта  "городские путешествия"</t>
  </si>
  <si>
    <t>Приказ №557 от 01.04.2024</t>
  </si>
  <si>
    <t>экскурсия</t>
  </si>
  <si>
    <t>спорт.оборудование</t>
  </si>
  <si>
    <t>Экскурсия</t>
  </si>
  <si>
    <t>зск</t>
  </si>
  <si>
    <t>Тестомес</t>
  </si>
  <si>
    <t>кондиционер</t>
  </si>
  <si>
    <t>Приказ№250 от12.02.2024</t>
  </si>
  <si>
    <t>приказ №250 от 12.02.2024</t>
  </si>
  <si>
    <t>Приказ №1063 от 02.05.2024Приказ № 2121 от 29.12.2023 на 6 месяцев 2024</t>
  </si>
  <si>
    <t>от "24"  мая    2024 г.</t>
  </si>
  <si>
    <t>Приказ №1187 от 21.05.2024</t>
  </si>
  <si>
    <t>Приказ №1187 от 21.05.2024Приказ №113 от 29.01.2024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</si>
</sst>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color indexed="63"/>
      </right>
      <top style="thin"/>
      <bottom style="thin"/>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86">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1"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3" xfId="0" applyFont="1" applyFill="1" applyBorder="1" applyAlignment="1">
      <alignment vertical="center" wrapText="1"/>
    </xf>
    <xf numFmtId="0" fontId="76" fillId="0" borderId="23" xfId="0" applyFont="1" applyFill="1" applyBorder="1" applyAlignment="1">
      <alignment horizontal="center" vertical="center" wrapText="1"/>
    </xf>
    <xf numFmtId="4" fontId="76" fillId="0" borderId="23"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4" xfId="0" applyFont="1" applyFill="1" applyBorder="1" applyAlignment="1">
      <alignment horizontal="center"/>
    </xf>
    <xf numFmtId="0" fontId="72" fillId="36" borderId="25"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80" fillId="36" borderId="0" xfId="0" applyFont="1"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36" borderId="13" xfId="0" applyFont="1" applyFill="1" applyBorder="1" applyAlignment="1">
      <alignment horizontal="right" vertical="center" wrapText="1"/>
    </xf>
    <xf numFmtId="0" fontId="76" fillId="0" borderId="22" xfId="0" applyFont="1" applyBorder="1" applyAlignment="1">
      <alignment vertical="center" wrapText="1"/>
    </xf>
    <xf numFmtId="4" fontId="76" fillId="0" borderId="22"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0" fillId="0" borderId="0" xfId="0"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xf>
    <xf numFmtId="0" fontId="80" fillId="36" borderId="0" xfId="0" applyFont="1" applyFill="1" applyBorder="1" applyAlignment="1">
      <alignment vertical="center" wrapText="1"/>
    </xf>
    <xf numFmtId="0" fontId="80" fillId="36" borderId="0" xfId="0" applyFont="1" applyFill="1" applyBorder="1" applyAlignment="1">
      <alignment vertical="top"/>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2" fillId="0" borderId="0" xfId="0" applyFont="1" applyAlignment="1">
      <alignment vertical="top" wrapText="1"/>
    </xf>
    <xf numFmtId="0" fontId="3" fillId="0" borderId="13" xfId="0" applyFont="1" applyBorder="1" applyAlignment="1">
      <alignment vertical="center" wrapText="1"/>
    </xf>
    <xf numFmtId="4" fontId="18" fillId="37"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3" fillId="0" borderId="0" xfId="0" applyFont="1" applyFill="1" applyAlignment="1">
      <alignment horizontal="center" shrinkToFit="1"/>
    </xf>
    <xf numFmtId="0" fontId="75" fillId="0" borderId="0" xfId="0" applyFont="1" applyAlignment="1">
      <alignment horizontal="right" wrapText="1"/>
    </xf>
    <xf numFmtId="0" fontId="72" fillId="0" borderId="0" xfId="0" applyFont="1" applyFill="1" applyAlignment="1">
      <alignment horizontal="center"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5" fillId="0" borderId="14"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3"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13" xfId="0" applyFont="1" applyBorder="1" applyAlignment="1">
      <alignment horizontal="center" vertical="center" wrapText="1"/>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75" fillId="0" borderId="0" xfId="0" applyFont="1" applyAlignment="1">
      <alignment horizontal="center" vertical="center"/>
    </xf>
    <xf numFmtId="0" fontId="76" fillId="0" borderId="0" xfId="0" applyFont="1" applyAlignment="1">
      <alignment horizontal="center" vertical="center"/>
    </xf>
    <xf numFmtId="0" fontId="18" fillId="36" borderId="20" xfId="0" applyFont="1" applyFill="1" applyBorder="1" applyAlignment="1">
      <alignment horizontal="center" vertical="top" wrapText="1"/>
    </xf>
    <xf numFmtId="0" fontId="18" fillId="36" borderId="23"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0" xfId="0" applyFont="1" applyFill="1" applyAlignment="1">
      <alignment horizontal="left" wrapText="1"/>
    </xf>
    <xf numFmtId="0" fontId="76" fillId="0" borderId="0" xfId="0" applyFont="1" applyFill="1" applyAlignment="1">
      <alignment horizontal="center" vertical="center" wrapText="1"/>
    </xf>
    <xf numFmtId="0" fontId="76"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center" vertical="center"/>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p3\Desktop\&#1070;&#1083;&#1080;&#1103;\&#1055;&#1060;&#1061;&#1044;%202024\&#1084;&#1072;&#1088;&#1090;\&#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4">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92"/>
      <c r="E1" s="292"/>
      <c r="F1" s="292"/>
      <c r="G1" s="292"/>
    </row>
    <row r="2" spans="4:7" ht="17.25" customHeight="1">
      <c r="D2" s="292"/>
      <c r="E2" s="292"/>
      <c r="F2" s="292"/>
      <c r="G2" s="292"/>
    </row>
    <row r="3" spans="4:7" ht="97.5" customHeight="1" hidden="1">
      <c r="D3" s="292"/>
      <c r="E3" s="292"/>
      <c r="F3" s="292"/>
      <c r="G3" s="292"/>
    </row>
    <row r="4" spans="1:6" ht="25.5" customHeight="1">
      <c r="A4" s="74"/>
      <c r="D4" s="297"/>
      <c r="E4" s="297"/>
      <c r="F4" s="297"/>
    </row>
    <row r="5" spans="1:6" ht="19.5" customHeight="1">
      <c r="A5" s="273" t="s">
        <v>472</v>
      </c>
      <c r="B5" s="12"/>
      <c r="C5" s="12"/>
      <c r="D5" s="293" t="s">
        <v>10</v>
      </c>
      <c r="E5" s="293"/>
      <c r="F5" s="293"/>
    </row>
    <row r="6" spans="1:6" ht="88.5" customHeight="1">
      <c r="A6" s="275" t="s">
        <v>473</v>
      </c>
      <c r="B6" s="12"/>
      <c r="C6" s="12" t="s">
        <v>7</v>
      </c>
      <c r="D6" s="25"/>
      <c r="E6" s="294" t="s">
        <v>505</v>
      </c>
      <c r="F6" s="294"/>
    </row>
    <row r="7" spans="1:6" ht="12.75" customHeight="1">
      <c r="A7" s="276" t="s">
        <v>474</v>
      </c>
      <c r="B7" s="12"/>
      <c r="C7" s="75"/>
      <c r="D7" s="295"/>
      <c r="E7" s="295"/>
      <c r="F7" s="295"/>
    </row>
    <row r="8" spans="1:7" ht="21.75" customHeight="1">
      <c r="A8" s="274" t="s">
        <v>475</v>
      </c>
      <c r="B8" s="12"/>
      <c r="C8" s="12"/>
      <c r="D8" s="76" t="s">
        <v>49</v>
      </c>
      <c r="E8" s="77" t="s">
        <v>45</v>
      </c>
      <c r="F8" s="215" t="s">
        <v>506</v>
      </c>
      <c r="G8" s="78"/>
    </row>
    <row r="9" spans="1:6" ht="18.75">
      <c r="A9" s="274" t="s">
        <v>476</v>
      </c>
      <c r="B9" s="12"/>
      <c r="C9" s="12"/>
      <c r="D9" s="75"/>
      <c r="E9" s="75" t="s">
        <v>50</v>
      </c>
      <c r="F9" s="75" t="s">
        <v>12</v>
      </c>
    </row>
    <row r="10" spans="1:6" ht="18.75">
      <c r="A10" s="274" t="s">
        <v>9</v>
      </c>
      <c r="B10" s="12"/>
      <c r="C10" s="12"/>
      <c r="D10" s="25"/>
      <c r="E10" s="25" t="s">
        <v>9</v>
      </c>
      <c r="F10" s="25"/>
    </row>
    <row r="11" spans="1:6" ht="18.75">
      <c r="A11" s="274" t="str">
        <f>B16</f>
        <v>от "24"  мая    2024 г.</v>
      </c>
      <c r="B11" s="12"/>
      <c r="C11" s="12"/>
      <c r="D11" s="79"/>
      <c r="E11" s="12" t="str">
        <f>B16</f>
        <v>от "24"  мая    2024 г.</v>
      </c>
      <c r="F11" s="25"/>
    </row>
    <row r="12" spans="1:6" ht="18.75" customHeight="1">
      <c r="A12" s="223"/>
      <c r="B12" s="12"/>
      <c r="C12" s="12"/>
      <c r="D12" s="80"/>
      <c r="E12" s="296"/>
      <c r="F12" s="296"/>
    </row>
    <row r="13" spans="1:6" ht="22.5" customHeight="1">
      <c r="A13" s="12"/>
      <c r="B13" s="291" t="s">
        <v>5</v>
      </c>
      <c r="C13" s="291"/>
      <c r="D13" s="291"/>
      <c r="E13" s="12"/>
      <c r="F13" s="12"/>
    </row>
    <row r="14" spans="1:6" ht="18.75" customHeight="1">
      <c r="A14" s="12"/>
      <c r="B14" s="291" t="s">
        <v>47</v>
      </c>
      <c r="C14" s="291"/>
      <c r="D14" s="291"/>
      <c r="E14" s="12"/>
      <c r="F14" s="12"/>
    </row>
    <row r="15" spans="1:6" ht="18" customHeight="1">
      <c r="A15" s="12"/>
      <c r="B15" s="291" t="s">
        <v>546</v>
      </c>
      <c r="C15" s="291"/>
      <c r="D15" s="291"/>
      <c r="E15" s="12"/>
      <c r="F15" s="12"/>
    </row>
    <row r="16" spans="1:6" ht="23.25" customHeight="1">
      <c r="A16" s="12"/>
      <c r="B16" s="293" t="s">
        <v>592</v>
      </c>
      <c r="C16" s="293"/>
      <c r="D16" s="293"/>
      <c r="E16" s="12"/>
      <c r="F16" s="81"/>
    </row>
    <row r="17" spans="1:6" ht="21" customHeight="1">
      <c r="A17" s="305" t="s">
        <v>26</v>
      </c>
      <c r="B17" s="299" t="s">
        <v>502</v>
      </c>
      <c r="C17" s="299"/>
      <c r="D17" s="299"/>
      <c r="E17" s="12"/>
      <c r="F17" s="82" t="s">
        <v>296</v>
      </c>
    </row>
    <row r="18" spans="1:6" ht="18.75">
      <c r="A18" s="305"/>
      <c r="B18" s="299"/>
      <c r="C18" s="299"/>
      <c r="D18" s="299"/>
      <c r="E18" s="83" t="s">
        <v>0</v>
      </c>
      <c r="F18" s="82"/>
    </row>
    <row r="19" spans="1:6" ht="33" customHeight="1">
      <c r="A19" s="305"/>
      <c r="B19" s="299"/>
      <c r="C19" s="299"/>
      <c r="D19" s="299"/>
      <c r="E19" s="83" t="s">
        <v>48</v>
      </c>
      <c r="F19" s="216">
        <v>43626572</v>
      </c>
    </row>
    <row r="20" spans="1:8" ht="30.75" customHeight="1" thickBot="1">
      <c r="A20" s="12"/>
      <c r="B20" s="12"/>
      <c r="C20" s="12"/>
      <c r="D20" s="84"/>
      <c r="E20" s="83"/>
      <c r="F20" s="12"/>
      <c r="G20" s="300"/>
      <c r="H20" s="301"/>
    </row>
    <row r="21" spans="1:8" ht="31.5" customHeight="1" thickBot="1">
      <c r="A21" s="12" t="s">
        <v>4</v>
      </c>
      <c r="B21" s="12" t="s">
        <v>6</v>
      </c>
      <c r="C21" s="213">
        <v>2318021574</v>
      </c>
      <c r="D21" s="214" t="s">
        <v>503</v>
      </c>
      <c r="E21" s="85"/>
      <c r="F21" s="25"/>
      <c r="G21" s="300"/>
      <c r="H21" s="301"/>
    </row>
    <row r="22" spans="1:8" ht="45" customHeight="1">
      <c r="A22" s="12"/>
      <c r="B22" s="12"/>
      <c r="C22" s="12"/>
      <c r="D22" s="12"/>
      <c r="E22" s="83"/>
      <c r="F22" s="12"/>
      <c r="G22" s="300"/>
      <c r="H22" s="301"/>
    </row>
    <row r="23" spans="1:8" ht="23.25" customHeight="1">
      <c r="A23" s="25"/>
      <c r="B23" s="25"/>
      <c r="C23" s="86"/>
      <c r="D23" s="12"/>
      <c r="E23" s="83" t="s">
        <v>48</v>
      </c>
      <c r="F23" s="204">
        <v>1513233</v>
      </c>
      <c r="G23" s="300"/>
      <c r="H23" s="301"/>
    </row>
    <row r="24" spans="1:8" ht="18" customHeight="1">
      <c r="A24" s="298" t="s">
        <v>3</v>
      </c>
      <c r="B24" s="302" t="s">
        <v>264</v>
      </c>
      <c r="C24" s="302"/>
      <c r="D24" s="302"/>
      <c r="E24" s="83" t="s">
        <v>59</v>
      </c>
      <c r="F24" s="205">
        <v>2320052509</v>
      </c>
      <c r="G24" s="300"/>
      <c r="H24" s="301"/>
    </row>
    <row r="25" spans="1:6" ht="44.25" customHeight="1">
      <c r="A25" s="298"/>
      <c r="B25" s="303"/>
      <c r="C25" s="303"/>
      <c r="D25" s="303"/>
      <c r="E25" s="83" t="s">
        <v>60</v>
      </c>
      <c r="F25" s="205">
        <v>232001001</v>
      </c>
    </row>
    <row r="26" spans="1:6" ht="18.75">
      <c r="A26" s="12" t="s">
        <v>2</v>
      </c>
      <c r="B26" s="304" t="s">
        <v>504</v>
      </c>
      <c r="C26" s="304"/>
      <c r="D26" s="304"/>
      <c r="E26" s="83" t="s">
        <v>1</v>
      </c>
      <c r="F26" s="206">
        <v>383</v>
      </c>
    </row>
    <row r="27" spans="1:6" ht="37.5">
      <c r="A27" s="298" t="s">
        <v>27</v>
      </c>
      <c r="B27" s="298"/>
      <c r="C27" s="298"/>
      <c r="D27" s="298"/>
      <c r="E27" s="87" t="s">
        <v>61</v>
      </c>
      <c r="F27" s="207" t="s">
        <v>507</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5" sqref="C25"/>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1" t="s">
        <v>305</v>
      </c>
      <c r="D1" s="142"/>
    </row>
    <row r="4" spans="1:3" ht="18.75">
      <c r="A4" s="345" t="s">
        <v>306</v>
      </c>
      <c r="B4" s="345"/>
      <c r="C4" s="345"/>
    </row>
    <row r="5" spans="1:3" ht="18.75">
      <c r="A5" s="345" t="str">
        <f>'Заголовочная часть'!B16</f>
        <v>от "24"  мая    2024 г.</v>
      </c>
      <c r="B5" s="345"/>
      <c r="C5" s="345"/>
    </row>
    <row r="6" spans="1:3" ht="18.75">
      <c r="A6" s="345" t="s">
        <v>307</v>
      </c>
      <c r="B6" s="345"/>
      <c r="C6" s="345"/>
    </row>
    <row r="7" spans="1:3" ht="12.75" customHeight="1">
      <c r="A7" s="143"/>
      <c r="B7" s="93"/>
      <c r="C7" s="93"/>
    </row>
    <row r="8" spans="1:3" ht="21.75" customHeight="1">
      <c r="A8" s="341" t="s">
        <v>8</v>
      </c>
      <c r="B8" s="341" t="s">
        <v>15</v>
      </c>
      <c r="C8" s="115" t="s">
        <v>308</v>
      </c>
    </row>
    <row r="9" spans="1:3" ht="18.75">
      <c r="A9" s="341"/>
      <c r="B9" s="341"/>
      <c r="C9" s="115" t="s">
        <v>309</v>
      </c>
    </row>
    <row r="10" spans="1:3" ht="18.75">
      <c r="A10" s="341"/>
      <c r="B10" s="341"/>
      <c r="C10" s="115" t="s">
        <v>310</v>
      </c>
    </row>
    <row r="11" spans="1:3" ht="18.75">
      <c r="A11" s="115">
        <v>1</v>
      </c>
      <c r="B11" s="115">
        <v>2</v>
      </c>
      <c r="C11" s="115">
        <v>3</v>
      </c>
    </row>
    <row r="12" spans="1:3" ht="18.75">
      <c r="A12" s="140" t="s">
        <v>311</v>
      </c>
      <c r="B12" s="115">
        <v>10</v>
      </c>
      <c r="C12" s="140">
        <v>11869.08</v>
      </c>
    </row>
    <row r="13" spans="1:3" ht="18.75">
      <c r="A13" s="140" t="s">
        <v>312</v>
      </c>
      <c r="B13" s="115">
        <v>20</v>
      </c>
      <c r="C13" s="140"/>
    </row>
    <row r="14" spans="1:3" ht="18.75">
      <c r="A14" s="140" t="s">
        <v>313</v>
      </c>
      <c r="B14" s="115">
        <v>30</v>
      </c>
      <c r="C14" s="140"/>
    </row>
    <row r="15" spans="1:3" ht="18.75">
      <c r="A15" s="140"/>
      <c r="B15" s="140"/>
      <c r="C15" s="140"/>
    </row>
    <row r="16" spans="1:3" ht="18.75">
      <c r="A16" s="140" t="s">
        <v>314</v>
      </c>
      <c r="B16" s="115">
        <v>40</v>
      </c>
      <c r="C16" s="140">
        <v>11869.08</v>
      </c>
    </row>
    <row r="17" spans="1:3" ht="18.75">
      <c r="A17" s="140"/>
      <c r="B17" s="140"/>
      <c r="C17" s="140"/>
    </row>
    <row r="18" spans="1:3" ht="18.75">
      <c r="A18" s="143"/>
      <c r="B18" s="93"/>
      <c r="C18" s="93"/>
    </row>
    <row r="19" spans="1:3" ht="18.75">
      <c r="A19" s="346" t="s">
        <v>315</v>
      </c>
      <c r="B19" s="346"/>
      <c r="C19" s="346"/>
    </row>
    <row r="20" spans="1:3" ht="10.5" customHeight="1">
      <c r="A20" s="143"/>
      <c r="B20" s="93"/>
      <c r="C20" s="93"/>
    </row>
    <row r="21" spans="1:3" ht="18.75">
      <c r="A21" s="341" t="s">
        <v>8</v>
      </c>
      <c r="B21" s="341" t="s">
        <v>15</v>
      </c>
      <c r="C21" s="115" t="s">
        <v>308</v>
      </c>
    </row>
    <row r="22" spans="1:3" ht="18.75">
      <c r="A22" s="341"/>
      <c r="B22" s="341"/>
      <c r="C22" s="115" t="s">
        <v>316</v>
      </c>
    </row>
    <row r="23" spans="1:3" ht="18.75">
      <c r="A23" s="115">
        <v>1</v>
      </c>
      <c r="B23" s="115">
        <v>2</v>
      </c>
      <c r="C23" s="115">
        <v>3</v>
      </c>
    </row>
    <row r="24" spans="1:3" ht="33.75" customHeight="1">
      <c r="A24" s="140" t="s">
        <v>317</v>
      </c>
      <c r="B24" s="115">
        <v>10</v>
      </c>
      <c r="C24" s="140"/>
    </row>
    <row r="25" spans="1:3" ht="80.25" customHeight="1">
      <c r="A25" s="140" t="s">
        <v>318</v>
      </c>
      <c r="B25" s="115">
        <v>20</v>
      </c>
      <c r="C25" s="140"/>
    </row>
    <row r="26" spans="1:3" ht="40.5" customHeight="1">
      <c r="A26" s="140" t="s">
        <v>319</v>
      </c>
      <c r="B26" s="115">
        <v>30</v>
      </c>
      <c r="C26" s="140">
        <v>11869.08</v>
      </c>
    </row>
    <row r="27" spans="1:3" ht="18.75">
      <c r="A27" s="143"/>
      <c r="B27" s="93"/>
      <c r="C27" s="93"/>
    </row>
    <row r="28" spans="1:3" ht="18.75">
      <c r="A28" s="144"/>
      <c r="B28" s="93"/>
      <c r="C28" s="93"/>
    </row>
    <row r="29" spans="1:3" ht="18.75">
      <c r="A29" s="49" t="s">
        <v>267</v>
      </c>
      <c r="B29" s="93"/>
      <c r="C29" s="144" t="s">
        <v>320</v>
      </c>
    </row>
    <row r="30" spans="1:3" ht="18.75">
      <c r="A30" s="144"/>
      <c r="B30" s="93"/>
      <c r="C30" s="145" t="s">
        <v>321</v>
      </c>
    </row>
    <row r="31" spans="1:3" ht="18.75">
      <c r="A31" s="144"/>
      <c r="B31" s="93"/>
      <c r="C31" s="144"/>
    </row>
    <row r="32" spans="1:3" ht="18.75">
      <c r="A32" s="144"/>
      <c r="B32" s="93"/>
      <c r="C32" s="93"/>
    </row>
    <row r="33" spans="1:3" s="53" customFormat="1" ht="31.5" customHeight="1">
      <c r="A33" s="342" t="s">
        <v>497</v>
      </c>
      <c r="B33" s="342"/>
      <c r="C33" s="342"/>
    </row>
    <row r="34" spans="1:3" s="53" customFormat="1" ht="28.5" customHeight="1">
      <c r="A34" s="343" t="s">
        <v>322</v>
      </c>
      <c r="B34" s="343"/>
      <c r="C34" s="343"/>
    </row>
    <row r="37" spans="1:3" ht="24.75" customHeight="1">
      <c r="A37" s="344" t="s">
        <v>323</v>
      </c>
      <c r="B37" s="344"/>
      <c r="C37" s="146" t="s">
        <v>198</v>
      </c>
    </row>
  </sheetData>
  <sheetProtection/>
  <mergeCells count="11">
    <mergeCell ref="A19:C19"/>
    <mergeCell ref="A21:A22"/>
    <mergeCell ref="B21:B22"/>
    <mergeCell ref="A33:C33"/>
    <mergeCell ref="A34:C34"/>
    <mergeCell ref="A37:B37"/>
    <mergeCell ref="A4:C4"/>
    <mergeCell ref="A5:C5"/>
    <mergeCell ref="A6:C6"/>
    <mergeCell ref="A8:A10"/>
    <mergeCell ref="B8:B10"/>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H100"/>
  <sheetViews>
    <sheetView tabSelected="1" view="pageBreakPreview" zoomScale="56" zoomScaleNormal="70" zoomScaleSheetLayoutView="56" workbookViewId="0" topLeftCell="A1">
      <selection activeCell="U4" sqref="U4"/>
    </sheetView>
  </sheetViews>
  <sheetFormatPr defaultColWidth="9.140625" defaultRowHeight="15"/>
  <cols>
    <col min="1" max="1" width="83.28125" style="89" customWidth="1"/>
    <col min="2" max="2" width="9.140625" style="89" customWidth="1"/>
    <col min="3" max="3" width="15.421875" style="101" customWidth="1"/>
    <col min="4" max="6" width="16.57421875" style="89" customWidth="1"/>
    <col min="7" max="8" width="16.421875" style="89" customWidth="1"/>
    <col min="9" max="10" width="14.28125" style="89" customWidth="1"/>
    <col min="11" max="11" width="17.8515625" style="89" customWidth="1"/>
    <col min="12" max="12" width="15.57421875" style="89" customWidth="1"/>
    <col min="13" max="13" width="13.140625" style="89" customWidth="1"/>
    <col min="14" max="14" width="19.00390625" style="89" customWidth="1"/>
    <col min="15" max="15" width="16.421875" style="89" customWidth="1"/>
    <col min="16" max="17" width="19.00390625" style="89" customWidth="1"/>
    <col min="18" max="18" width="16.421875" style="89" customWidth="1"/>
    <col min="19" max="19" width="14.8515625" style="89" customWidth="1"/>
    <col min="20" max="20" width="15.140625" style="89" customWidth="1"/>
    <col min="21" max="21" width="13.140625" style="89" customWidth="1"/>
    <col min="22" max="22" width="15.7109375" style="89" customWidth="1"/>
    <col min="23" max="23" width="14.8515625" style="89" customWidth="1"/>
    <col min="24" max="24" width="13.140625" style="89" customWidth="1"/>
    <col min="25" max="25" width="14.421875" style="89" customWidth="1"/>
    <col min="26" max="26" width="18.7109375" style="89" customWidth="1"/>
    <col min="27" max="27" width="14.8515625" style="89" customWidth="1"/>
    <col min="28" max="28" width="15.140625" style="89" customWidth="1"/>
    <col min="29" max="29" width="16.421875" style="89" customWidth="1"/>
    <col min="30" max="30" width="15.28125" style="89" customWidth="1"/>
    <col min="31" max="32" width="8.7109375" style="89" customWidth="1"/>
    <col min="33" max="16384" width="9.140625" style="89" customWidth="1"/>
  </cols>
  <sheetData>
    <row r="1" spans="1:32" ht="26.25" customHeight="1">
      <c r="A1" s="351" t="s">
        <v>275</v>
      </c>
      <c r="B1" s="352"/>
      <c r="C1" s="352"/>
      <c r="D1" s="111"/>
      <c r="E1" s="111"/>
      <c r="F1" s="111"/>
      <c r="G1" s="210"/>
      <c r="H1" s="111"/>
      <c r="I1" s="246"/>
      <c r="J1" s="209"/>
      <c r="K1" s="226"/>
      <c r="L1" s="209"/>
      <c r="M1" s="289"/>
      <c r="N1" s="263"/>
      <c r="O1" s="277"/>
      <c r="P1" s="252"/>
      <c r="Q1" s="225"/>
      <c r="R1" s="222"/>
      <c r="S1" s="269"/>
      <c r="T1" s="229"/>
      <c r="U1" s="111"/>
      <c r="V1" s="111"/>
      <c r="W1" s="111"/>
      <c r="X1" s="283"/>
      <c r="Y1" s="249"/>
      <c r="Z1" s="266"/>
      <c r="AA1" s="111"/>
      <c r="AB1" s="229"/>
      <c r="AC1" s="277"/>
      <c r="AD1" s="111"/>
      <c r="AE1" s="111"/>
      <c r="AF1" s="111"/>
    </row>
    <row r="2" spans="1:32"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2" ht="51" customHeight="1">
      <c r="A3" s="308" t="s">
        <v>8</v>
      </c>
      <c r="B3" s="308" t="s">
        <v>15</v>
      </c>
      <c r="C3" s="308" t="s">
        <v>17</v>
      </c>
      <c r="D3" s="353" t="s">
        <v>274</v>
      </c>
      <c r="E3" s="91" t="s">
        <v>295</v>
      </c>
      <c r="F3" s="72" t="s">
        <v>586</v>
      </c>
      <c r="G3" s="211" t="s">
        <v>498</v>
      </c>
      <c r="H3" s="211" t="s">
        <v>508</v>
      </c>
      <c r="I3" s="356" t="s">
        <v>500</v>
      </c>
      <c r="J3" s="358"/>
      <c r="K3" s="227"/>
      <c r="L3" s="31" t="s">
        <v>501</v>
      </c>
      <c r="M3" s="356" t="s">
        <v>573</v>
      </c>
      <c r="N3" s="358"/>
      <c r="O3" s="278"/>
      <c r="P3" s="254" t="s">
        <v>574</v>
      </c>
      <c r="Q3" s="270" t="s">
        <v>558</v>
      </c>
      <c r="R3" s="270" t="s">
        <v>499</v>
      </c>
      <c r="S3" s="270" t="s">
        <v>555</v>
      </c>
      <c r="T3" s="230" t="s">
        <v>556</v>
      </c>
      <c r="U3" s="356" t="s">
        <v>295</v>
      </c>
      <c r="V3" s="357"/>
      <c r="W3" s="357"/>
      <c r="X3" s="357"/>
      <c r="Y3" s="357"/>
      <c r="Z3" s="358"/>
      <c r="AA3" s="356" t="s">
        <v>273</v>
      </c>
      <c r="AB3" s="357"/>
      <c r="AC3" s="357"/>
      <c r="AD3" s="357"/>
      <c r="AE3" s="357"/>
      <c r="AF3" s="358"/>
    </row>
    <row r="4" spans="1:32" ht="128.25" customHeight="1">
      <c r="A4" s="308"/>
      <c r="B4" s="308"/>
      <c r="C4" s="308"/>
      <c r="D4" s="354"/>
      <c r="E4" s="267" t="s">
        <v>542</v>
      </c>
      <c r="F4" s="72"/>
      <c r="G4" s="347" t="s">
        <v>591</v>
      </c>
      <c r="H4" s="347" t="s">
        <v>509</v>
      </c>
      <c r="I4" s="31" t="s">
        <v>524</v>
      </c>
      <c r="J4" s="31" t="s">
        <v>522</v>
      </c>
      <c r="K4" s="31" t="s">
        <v>545</v>
      </c>
      <c r="L4" s="349" t="s">
        <v>553</v>
      </c>
      <c r="M4" s="31" t="s">
        <v>578</v>
      </c>
      <c r="N4" s="31" t="s">
        <v>589</v>
      </c>
      <c r="O4" s="31" t="s">
        <v>565</v>
      </c>
      <c r="P4" s="31" t="s">
        <v>590</v>
      </c>
      <c r="Q4" s="31" t="s">
        <v>559</v>
      </c>
      <c r="R4" s="31" t="s">
        <v>554</v>
      </c>
      <c r="S4" s="31" t="s">
        <v>554</v>
      </c>
      <c r="T4" s="31" t="s">
        <v>557</v>
      </c>
      <c r="U4" s="31" t="s">
        <v>594</v>
      </c>
      <c r="V4" s="31" t="s">
        <v>570</v>
      </c>
      <c r="W4" s="31" t="s">
        <v>562</v>
      </c>
      <c r="X4" s="31" t="s">
        <v>582</v>
      </c>
      <c r="Y4" s="31" t="s">
        <v>532</v>
      </c>
      <c r="Z4" s="31" t="s">
        <v>544</v>
      </c>
      <c r="AA4" s="31" t="s">
        <v>517</v>
      </c>
      <c r="AB4" s="31" t="s">
        <v>560</v>
      </c>
      <c r="AC4" s="31" t="s">
        <v>565</v>
      </c>
      <c r="AD4" s="31" t="s">
        <v>568</v>
      </c>
      <c r="AE4" s="31" t="s">
        <v>271</v>
      </c>
      <c r="AF4" s="31" t="s">
        <v>271</v>
      </c>
    </row>
    <row r="5" spans="1:32" ht="105.75" customHeight="1">
      <c r="A5" s="72">
        <v>1</v>
      </c>
      <c r="B5" s="72">
        <v>2</v>
      </c>
      <c r="C5" s="72">
        <v>3</v>
      </c>
      <c r="D5" s="355"/>
      <c r="E5" s="72" t="s">
        <v>272</v>
      </c>
      <c r="F5" s="72" t="s">
        <v>586</v>
      </c>
      <c r="G5" s="348"/>
      <c r="H5" s="348"/>
      <c r="I5" s="247" t="s">
        <v>525</v>
      </c>
      <c r="J5" s="244" t="s">
        <v>523</v>
      </c>
      <c r="K5" s="227" t="s">
        <v>519</v>
      </c>
      <c r="L5" s="350"/>
      <c r="M5" s="288" t="s">
        <v>579</v>
      </c>
      <c r="N5" s="264" t="s">
        <v>575</v>
      </c>
      <c r="O5" s="278" t="s">
        <v>566</v>
      </c>
      <c r="P5" s="280" t="s">
        <v>575</v>
      </c>
      <c r="Q5" s="227"/>
      <c r="R5" s="221"/>
      <c r="S5" s="270"/>
      <c r="T5" s="228"/>
      <c r="U5" s="271" t="s">
        <v>520</v>
      </c>
      <c r="V5" s="234" t="s">
        <v>571</v>
      </c>
      <c r="W5" s="248" t="s">
        <v>561</v>
      </c>
      <c r="X5" s="282" t="s">
        <v>583</v>
      </c>
      <c r="Y5" s="250" t="s">
        <v>533</v>
      </c>
      <c r="Z5" s="265" t="s">
        <v>521</v>
      </c>
      <c r="AA5" s="220" t="s">
        <v>518</v>
      </c>
      <c r="AB5" s="271" t="s">
        <v>520</v>
      </c>
      <c r="AC5" s="278" t="s">
        <v>567</v>
      </c>
      <c r="AD5" s="279" t="s">
        <v>569</v>
      </c>
      <c r="AE5" s="72"/>
      <c r="AF5" s="72"/>
    </row>
    <row r="6" spans="1:32" ht="27" customHeight="1">
      <c r="A6" s="90" t="s">
        <v>245</v>
      </c>
      <c r="B6" s="32" t="s">
        <v>22</v>
      </c>
      <c r="C6" s="72" t="s">
        <v>203</v>
      </c>
      <c r="D6" s="40">
        <v>1248.09</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22.5" customHeight="1">
      <c r="A8" s="90" t="s">
        <v>246</v>
      </c>
      <c r="B8" s="32" t="s">
        <v>93</v>
      </c>
      <c r="C8" s="72" t="s">
        <v>203</v>
      </c>
      <c r="D8" s="40">
        <f>SUM(E8:AF8)</f>
        <v>0</v>
      </c>
      <c r="E8" s="40">
        <f aca="true" t="shared" si="0" ref="E8:AF8">E6+E10-E41-E90</f>
        <v>0</v>
      </c>
      <c r="F8" s="40">
        <f t="shared" si="0"/>
        <v>0</v>
      </c>
      <c r="G8" s="40">
        <f>G6+G10-G41-G90</f>
        <v>0</v>
      </c>
      <c r="H8" s="40">
        <f t="shared" si="0"/>
        <v>0</v>
      </c>
      <c r="I8" s="40">
        <f t="shared" si="0"/>
        <v>0</v>
      </c>
      <c r="J8" s="40">
        <f aca="true" t="shared" si="1" ref="J8:P8">J6+J10-J41-J90</f>
        <v>0</v>
      </c>
      <c r="K8" s="40">
        <f t="shared" si="1"/>
        <v>0</v>
      </c>
      <c r="L8" s="40">
        <f t="shared" si="1"/>
        <v>0</v>
      </c>
      <c r="M8" s="40">
        <f t="shared" si="1"/>
        <v>0</v>
      </c>
      <c r="N8" s="40">
        <f t="shared" si="1"/>
        <v>0</v>
      </c>
      <c r="O8" s="40">
        <f t="shared" si="1"/>
        <v>0</v>
      </c>
      <c r="P8" s="40">
        <f t="shared" si="1"/>
        <v>0</v>
      </c>
      <c r="Q8" s="40">
        <f t="shared" si="0"/>
        <v>0</v>
      </c>
      <c r="R8" s="40">
        <f>R6+R10-R41-R90</f>
        <v>0</v>
      </c>
      <c r="S8" s="40">
        <f>S6+S10-S41-S90</f>
        <v>0</v>
      </c>
      <c r="T8" s="40">
        <f t="shared" si="0"/>
        <v>0</v>
      </c>
      <c r="U8" s="40">
        <f t="shared" si="0"/>
        <v>0</v>
      </c>
      <c r="V8" s="40">
        <f t="shared" si="0"/>
        <v>0</v>
      </c>
      <c r="W8" s="40">
        <f t="shared" si="0"/>
        <v>0</v>
      </c>
      <c r="X8" s="40">
        <f t="shared" si="0"/>
        <v>0</v>
      </c>
      <c r="Y8" s="40">
        <f t="shared" si="0"/>
        <v>0</v>
      </c>
      <c r="Z8" s="40">
        <f t="shared" si="0"/>
        <v>0</v>
      </c>
      <c r="AA8" s="40">
        <f t="shared" si="0"/>
        <v>0</v>
      </c>
      <c r="AB8" s="40">
        <f>AB6+AB10-AB41-AB90</f>
        <v>0</v>
      </c>
      <c r="AC8" s="40">
        <f>AC6+AC10-AC41-AC90</f>
        <v>0</v>
      </c>
      <c r="AD8" s="40">
        <f t="shared" si="0"/>
        <v>0</v>
      </c>
      <c r="AE8" s="40">
        <f t="shared" si="0"/>
        <v>0</v>
      </c>
      <c r="AF8" s="40">
        <f t="shared" si="0"/>
        <v>0</v>
      </c>
    </row>
    <row r="9" spans="1:32"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27" customHeight="1">
      <c r="A10" s="65" t="s">
        <v>200</v>
      </c>
      <c r="B10" s="72">
        <v>1000</v>
      </c>
      <c r="C10" s="72" t="s">
        <v>203</v>
      </c>
      <c r="D10" s="40">
        <f aca="true" t="shared" si="2" ref="D10:AF10">D11+D17+D22+D25+D29+D34+D37</f>
        <v>10742117.559999999</v>
      </c>
      <c r="E10" s="40">
        <f t="shared" si="2"/>
        <v>2041200</v>
      </c>
      <c r="F10" s="40">
        <f t="shared" si="2"/>
        <v>300000</v>
      </c>
      <c r="G10" s="40">
        <f>G11+G17+G22+G25+G29+G34+G37</f>
        <v>370000</v>
      </c>
      <c r="H10" s="40">
        <f t="shared" si="2"/>
        <v>0</v>
      </c>
      <c r="I10" s="40">
        <f aca="true" t="shared" si="3" ref="I10:P10">I11+I17+I22+I25+I29+I34+I37</f>
        <v>0</v>
      </c>
      <c r="J10" s="40">
        <f t="shared" si="3"/>
        <v>0</v>
      </c>
      <c r="K10" s="40">
        <f t="shared" si="3"/>
        <v>0</v>
      </c>
      <c r="L10" s="40">
        <f t="shared" si="3"/>
        <v>31600</v>
      </c>
      <c r="M10" s="255">
        <f>M11+M17+M22+M25+M29+M34+M37</f>
        <v>5500</v>
      </c>
      <c r="N10" s="97">
        <f>N11+N17+N22+N25+N29+N34+N37</f>
        <v>45100</v>
      </c>
      <c r="O10" s="255">
        <f>O11+O17+O22+O25+O29+O34+O37</f>
        <v>280288.8</v>
      </c>
      <c r="P10" s="97">
        <f t="shared" si="3"/>
        <v>9900</v>
      </c>
      <c r="Q10" s="40">
        <f t="shared" si="2"/>
        <v>328104</v>
      </c>
      <c r="R10" s="40">
        <f>R11+R17+R22+R25+R29+R34+R37</f>
        <v>1074150</v>
      </c>
      <c r="S10" s="40">
        <f>S11+S17+S22+S25+S29+S34+S37</f>
        <v>937440</v>
      </c>
      <c r="T10" s="40">
        <f>T11+T17+T22+T25+T29+T34+T37</f>
        <v>562464</v>
      </c>
      <c r="U10" s="40">
        <f t="shared" si="2"/>
        <v>25958.83</v>
      </c>
      <c r="V10" s="40">
        <f t="shared" si="2"/>
        <v>999700</v>
      </c>
      <c r="W10" s="40">
        <f>W11+W17+W22+W25+W29+W34+W37</f>
        <v>161100</v>
      </c>
      <c r="X10" s="287">
        <f>X11+X17+X22+X25+X29+X34+X37</f>
        <v>78503</v>
      </c>
      <c r="Y10" s="40">
        <f t="shared" si="2"/>
        <v>0</v>
      </c>
      <c r="Z10" s="255">
        <f t="shared" si="2"/>
        <v>0</v>
      </c>
      <c r="AA10" s="40">
        <f t="shared" si="2"/>
        <v>0</v>
      </c>
      <c r="AB10" s="40">
        <f t="shared" si="2"/>
        <v>24912.53</v>
      </c>
      <c r="AC10" s="255">
        <f t="shared" si="2"/>
        <v>57039.6</v>
      </c>
      <c r="AD10" s="40">
        <f t="shared" si="2"/>
        <v>3409156.8</v>
      </c>
      <c r="AE10" s="40">
        <f t="shared" si="2"/>
        <v>0</v>
      </c>
      <c r="AF10" s="40">
        <f t="shared" si="2"/>
        <v>0</v>
      </c>
    </row>
    <row r="11" spans="1:32" ht="42.75" customHeight="1" hidden="1">
      <c r="A11" s="28" t="s">
        <v>202</v>
      </c>
      <c r="B11" s="72">
        <v>1100</v>
      </c>
      <c r="C11" s="72">
        <v>120</v>
      </c>
      <c r="D11" s="40">
        <f aca="true" t="shared" si="4" ref="D11:AF11">D12+D13+D14+D15+D16</f>
        <v>0</v>
      </c>
      <c r="E11" s="40">
        <f t="shared" si="4"/>
        <v>0</v>
      </c>
      <c r="F11" s="40">
        <f t="shared" si="4"/>
        <v>0</v>
      </c>
      <c r="G11" s="40">
        <f>G12+G13+G14+G15+G16</f>
        <v>0</v>
      </c>
      <c r="H11" s="40">
        <f t="shared" si="4"/>
        <v>0</v>
      </c>
      <c r="I11" s="40">
        <f aca="true" t="shared" si="5" ref="I11:P11">I12+I13+I14+I15+I16</f>
        <v>0</v>
      </c>
      <c r="J11" s="40">
        <f t="shared" si="5"/>
        <v>0</v>
      </c>
      <c r="K11" s="40">
        <f t="shared" si="5"/>
        <v>0</v>
      </c>
      <c r="L11" s="40">
        <f t="shared" si="5"/>
        <v>0</v>
      </c>
      <c r="M11" s="40">
        <f>M12+M13+M14+M15+M16</f>
        <v>0</v>
      </c>
      <c r="N11" s="40">
        <f>N12+N13+N14+N15+N16</f>
        <v>0</v>
      </c>
      <c r="O11" s="40">
        <f>O12+O13+O14+O15+O16</f>
        <v>0</v>
      </c>
      <c r="P11" s="40">
        <f t="shared" si="5"/>
        <v>0</v>
      </c>
      <c r="Q11" s="40">
        <f t="shared" si="4"/>
        <v>0</v>
      </c>
      <c r="R11" s="40">
        <f>R12+R13+R14+R15+R16</f>
        <v>0</v>
      </c>
      <c r="S11" s="40">
        <f>S12+S13+S14+S15+S16</f>
        <v>0</v>
      </c>
      <c r="T11" s="40">
        <f>T12+T13+T14+T15+T16</f>
        <v>0</v>
      </c>
      <c r="U11" s="40">
        <f t="shared" si="4"/>
        <v>0</v>
      </c>
      <c r="V11" s="40">
        <f t="shared" si="4"/>
        <v>0</v>
      </c>
      <c r="W11" s="40">
        <f>W12+W13+W14+W15+W16</f>
        <v>0</v>
      </c>
      <c r="X11" s="40">
        <f>X12+X13+X14+X15+X16</f>
        <v>0</v>
      </c>
      <c r="Y11" s="40">
        <f t="shared" si="4"/>
        <v>0</v>
      </c>
      <c r="Z11" s="40">
        <f t="shared" si="4"/>
        <v>0</v>
      </c>
      <c r="AA11" s="40">
        <f t="shared" si="4"/>
        <v>0</v>
      </c>
      <c r="AB11" s="40">
        <f t="shared" si="4"/>
        <v>0</v>
      </c>
      <c r="AC11" s="40">
        <f t="shared" si="4"/>
        <v>0</v>
      </c>
      <c r="AD11" s="40">
        <f t="shared" si="4"/>
        <v>0</v>
      </c>
      <c r="AE11" s="40">
        <f t="shared" si="4"/>
        <v>0</v>
      </c>
      <c r="AF11" s="40">
        <f t="shared" si="4"/>
        <v>0</v>
      </c>
    </row>
    <row r="12" spans="1:32"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27" customHeight="1" hidden="1">
      <c r="A13" s="36" t="s">
        <v>101</v>
      </c>
      <c r="B13" s="72">
        <v>1120</v>
      </c>
      <c r="C13" s="72">
        <v>120</v>
      </c>
      <c r="D13" s="72"/>
      <c r="E13" s="72"/>
      <c r="F13" s="72"/>
      <c r="G13" s="211"/>
      <c r="H13" s="72"/>
      <c r="I13" s="247"/>
      <c r="J13" s="208"/>
      <c r="K13" s="227"/>
      <c r="L13" s="208"/>
      <c r="M13" s="288"/>
      <c r="N13" s="264"/>
      <c r="O13" s="278"/>
      <c r="P13" s="253"/>
      <c r="Q13" s="224"/>
      <c r="R13" s="221"/>
      <c r="S13" s="270"/>
      <c r="T13" s="228"/>
      <c r="U13" s="72"/>
      <c r="V13" s="72"/>
      <c r="W13" s="72"/>
      <c r="X13" s="282"/>
      <c r="Y13" s="250"/>
      <c r="Z13" s="265"/>
      <c r="AA13" s="72"/>
      <c r="AB13" s="228"/>
      <c r="AC13" s="278"/>
      <c r="AD13" s="72"/>
      <c r="AE13" s="72"/>
      <c r="AF13" s="72"/>
    </row>
    <row r="14" spans="1:32" ht="33" customHeight="1" hidden="1">
      <c r="A14" s="36" t="s">
        <v>100</v>
      </c>
      <c r="B14" s="72">
        <v>1130</v>
      </c>
      <c r="C14" s="72">
        <v>120</v>
      </c>
      <c r="D14" s="72"/>
      <c r="E14" s="72"/>
      <c r="F14" s="72"/>
      <c r="G14" s="211"/>
      <c r="H14" s="72"/>
      <c r="I14" s="247"/>
      <c r="J14" s="208"/>
      <c r="K14" s="227"/>
      <c r="L14" s="208"/>
      <c r="M14" s="288"/>
      <c r="N14" s="264"/>
      <c r="O14" s="278"/>
      <c r="P14" s="253"/>
      <c r="Q14" s="224"/>
      <c r="R14" s="221"/>
      <c r="S14" s="270"/>
      <c r="T14" s="228"/>
      <c r="U14" s="72"/>
      <c r="V14" s="72"/>
      <c r="W14" s="72"/>
      <c r="X14" s="282"/>
      <c r="Y14" s="250"/>
      <c r="Z14" s="265"/>
      <c r="AA14" s="72"/>
      <c r="AB14" s="228"/>
      <c r="AC14" s="278"/>
      <c r="AD14" s="72"/>
      <c r="AE14" s="72"/>
      <c r="AF14" s="72"/>
    </row>
    <row r="15" spans="1:32" ht="25.5" customHeight="1" hidden="1">
      <c r="A15" s="37" t="s">
        <v>65</v>
      </c>
      <c r="B15" s="72">
        <v>1140</v>
      </c>
      <c r="C15" s="72">
        <v>120</v>
      </c>
      <c r="D15" s="72"/>
      <c r="E15" s="72"/>
      <c r="F15" s="72"/>
      <c r="G15" s="211"/>
      <c r="H15" s="72"/>
      <c r="I15" s="247"/>
      <c r="J15" s="208"/>
      <c r="K15" s="227"/>
      <c r="L15" s="208"/>
      <c r="M15" s="288"/>
      <c r="N15" s="264"/>
      <c r="O15" s="278"/>
      <c r="P15" s="253"/>
      <c r="Q15" s="224"/>
      <c r="R15" s="221"/>
      <c r="S15" s="270"/>
      <c r="T15" s="228"/>
      <c r="U15" s="72"/>
      <c r="V15" s="72"/>
      <c r="W15" s="72"/>
      <c r="X15" s="282"/>
      <c r="Y15" s="250"/>
      <c r="Z15" s="265"/>
      <c r="AA15" s="72"/>
      <c r="AB15" s="228"/>
      <c r="AC15" s="278"/>
      <c r="AD15" s="72"/>
      <c r="AE15" s="72"/>
      <c r="AF15" s="72"/>
    </row>
    <row r="16" spans="1:32" ht="35.25" customHeight="1" hidden="1">
      <c r="A16" s="37" t="s">
        <v>102</v>
      </c>
      <c r="B16" s="72">
        <v>1150</v>
      </c>
      <c r="C16" s="72">
        <v>120</v>
      </c>
      <c r="D16" s="72"/>
      <c r="E16" s="72"/>
      <c r="F16" s="72"/>
      <c r="G16" s="211"/>
      <c r="H16" s="72"/>
      <c r="I16" s="247"/>
      <c r="J16" s="208"/>
      <c r="K16" s="227"/>
      <c r="L16" s="208"/>
      <c r="M16" s="288"/>
      <c r="N16" s="264"/>
      <c r="O16" s="278"/>
      <c r="P16" s="253"/>
      <c r="Q16" s="224"/>
      <c r="R16" s="221"/>
      <c r="S16" s="270"/>
      <c r="T16" s="228"/>
      <c r="U16" s="72"/>
      <c r="V16" s="72"/>
      <c r="W16" s="72"/>
      <c r="X16" s="282"/>
      <c r="Y16" s="250"/>
      <c r="Z16" s="265"/>
      <c r="AA16" s="72"/>
      <c r="AB16" s="228"/>
      <c r="AC16" s="278"/>
      <c r="AD16" s="72"/>
      <c r="AE16" s="72"/>
      <c r="AF16" s="72"/>
    </row>
    <row r="17" spans="1:32" ht="21.75" customHeight="1" hidden="1">
      <c r="A17" s="28" t="s">
        <v>201</v>
      </c>
      <c r="B17" s="91">
        <v>1200</v>
      </c>
      <c r="C17" s="72">
        <v>130</v>
      </c>
      <c r="D17" s="40">
        <f aca="true" t="shared" si="6" ref="D17:AF17">D18+D19+D20+D21</f>
        <v>0</v>
      </c>
      <c r="E17" s="40">
        <f t="shared" si="6"/>
        <v>0</v>
      </c>
      <c r="F17" s="40">
        <f t="shared" si="6"/>
        <v>0</v>
      </c>
      <c r="G17" s="40">
        <f>G18+G19+G20+G21</f>
        <v>0</v>
      </c>
      <c r="H17" s="40">
        <f t="shared" si="6"/>
        <v>0</v>
      </c>
      <c r="I17" s="40">
        <f aca="true" t="shared" si="7" ref="I17:P17">I18+I19+I20+I21</f>
        <v>0</v>
      </c>
      <c r="J17" s="40">
        <f t="shared" si="7"/>
        <v>0</v>
      </c>
      <c r="K17" s="40">
        <f t="shared" si="7"/>
        <v>0</v>
      </c>
      <c r="L17" s="40">
        <f t="shared" si="7"/>
        <v>0</v>
      </c>
      <c r="M17" s="40">
        <f>M18+M19+M20+M21</f>
        <v>0</v>
      </c>
      <c r="N17" s="40">
        <f>N18+N19+N20+N21</f>
        <v>0</v>
      </c>
      <c r="O17" s="40">
        <f>O18+O19+O20+O21</f>
        <v>0</v>
      </c>
      <c r="P17" s="40">
        <f t="shared" si="7"/>
        <v>0</v>
      </c>
      <c r="Q17" s="40">
        <f t="shared" si="6"/>
        <v>0</v>
      </c>
      <c r="R17" s="40">
        <f>R18+R19+R20+R21</f>
        <v>0</v>
      </c>
      <c r="S17" s="40">
        <f>S18+S19+S20+S21</f>
        <v>0</v>
      </c>
      <c r="T17" s="40">
        <f>T18+T19+T20+T21</f>
        <v>0</v>
      </c>
      <c r="U17" s="40">
        <f t="shared" si="6"/>
        <v>0</v>
      </c>
      <c r="V17" s="40">
        <f t="shared" si="6"/>
        <v>0</v>
      </c>
      <c r="W17" s="40">
        <f>W18+W19+W20+W21</f>
        <v>0</v>
      </c>
      <c r="X17" s="40">
        <f>X18+X19+X20+X21</f>
        <v>0</v>
      </c>
      <c r="Y17" s="40">
        <f t="shared" si="6"/>
        <v>0</v>
      </c>
      <c r="Z17" s="40">
        <f t="shared" si="6"/>
        <v>0</v>
      </c>
      <c r="AA17" s="40">
        <f t="shared" si="6"/>
        <v>0</v>
      </c>
      <c r="AB17" s="40">
        <f t="shared" si="6"/>
        <v>0</v>
      </c>
      <c r="AC17" s="40">
        <f t="shared" si="6"/>
        <v>0</v>
      </c>
      <c r="AD17" s="40">
        <f t="shared" si="6"/>
        <v>0</v>
      </c>
      <c r="AE17" s="40">
        <f t="shared" si="6"/>
        <v>0</v>
      </c>
      <c r="AF17" s="40">
        <f t="shared" si="6"/>
        <v>0</v>
      </c>
    </row>
    <row r="18" spans="1:32" ht="43.5" customHeight="1" hidden="1">
      <c r="A18" s="36" t="s">
        <v>205</v>
      </c>
      <c r="B18" s="72">
        <v>1210</v>
      </c>
      <c r="C18" s="26">
        <v>130</v>
      </c>
      <c r="D18" s="72"/>
      <c r="E18" s="72"/>
      <c r="F18" s="72"/>
      <c r="G18" s="211"/>
      <c r="H18" s="72"/>
      <c r="I18" s="247"/>
      <c r="J18" s="208"/>
      <c r="K18" s="227"/>
      <c r="L18" s="208"/>
      <c r="M18" s="288"/>
      <c r="N18" s="264"/>
      <c r="O18" s="278"/>
      <c r="P18" s="253"/>
      <c r="Q18" s="224"/>
      <c r="R18" s="221"/>
      <c r="S18" s="270"/>
      <c r="T18" s="228"/>
      <c r="U18" s="72"/>
      <c r="V18" s="72"/>
      <c r="W18" s="72"/>
      <c r="X18" s="282"/>
      <c r="Y18" s="250"/>
      <c r="Z18" s="265"/>
      <c r="AA18" s="72"/>
      <c r="AB18" s="228"/>
      <c r="AC18" s="278"/>
      <c r="AD18" s="72"/>
      <c r="AE18" s="72"/>
      <c r="AF18" s="72"/>
    </row>
    <row r="19" spans="1:32" ht="48.75" customHeight="1" hidden="1">
      <c r="A19" s="36" t="s">
        <v>103</v>
      </c>
      <c r="B19" s="72">
        <v>1220</v>
      </c>
      <c r="C19" s="72">
        <v>130</v>
      </c>
      <c r="D19" s="72"/>
      <c r="E19" s="72"/>
      <c r="F19" s="72"/>
      <c r="G19" s="211"/>
      <c r="H19" s="72"/>
      <c r="I19" s="247"/>
      <c r="J19" s="208"/>
      <c r="K19" s="227"/>
      <c r="L19" s="208"/>
      <c r="M19" s="288"/>
      <c r="N19" s="264"/>
      <c r="O19" s="278"/>
      <c r="P19" s="253"/>
      <c r="Q19" s="224"/>
      <c r="R19" s="221"/>
      <c r="S19" s="270"/>
      <c r="T19" s="228"/>
      <c r="U19" s="72"/>
      <c r="V19" s="72"/>
      <c r="W19" s="72"/>
      <c r="X19" s="282"/>
      <c r="Y19" s="250"/>
      <c r="Z19" s="265"/>
      <c r="AA19" s="72"/>
      <c r="AB19" s="228"/>
      <c r="AC19" s="278"/>
      <c r="AD19" s="72"/>
      <c r="AE19" s="72"/>
      <c r="AF19" s="72"/>
    </row>
    <row r="20" spans="1:32" ht="44.25" customHeight="1" hidden="1">
      <c r="A20" s="36" t="s">
        <v>104</v>
      </c>
      <c r="B20" s="72">
        <v>1230</v>
      </c>
      <c r="C20" s="72">
        <v>130</v>
      </c>
      <c r="D20" s="72"/>
      <c r="E20" s="72"/>
      <c r="F20" s="72"/>
      <c r="G20" s="211"/>
      <c r="H20" s="72"/>
      <c r="I20" s="247"/>
      <c r="J20" s="208"/>
      <c r="K20" s="227"/>
      <c r="L20" s="208"/>
      <c r="M20" s="288"/>
      <c r="N20" s="264"/>
      <c r="O20" s="278"/>
      <c r="P20" s="253"/>
      <c r="Q20" s="224"/>
      <c r="R20" s="221"/>
      <c r="S20" s="270"/>
      <c r="T20" s="228"/>
      <c r="U20" s="72"/>
      <c r="V20" s="72"/>
      <c r="W20" s="72"/>
      <c r="X20" s="282"/>
      <c r="Y20" s="250"/>
      <c r="Z20" s="265"/>
      <c r="AA20" s="72"/>
      <c r="AB20" s="228"/>
      <c r="AC20" s="278"/>
      <c r="AD20" s="72"/>
      <c r="AE20" s="72"/>
      <c r="AF20" s="72"/>
    </row>
    <row r="21" spans="1:32" ht="23.25" customHeight="1" hidden="1">
      <c r="A21" s="36" t="s">
        <v>66</v>
      </c>
      <c r="B21" s="72">
        <v>1240</v>
      </c>
      <c r="C21" s="72">
        <v>130</v>
      </c>
      <c r="D21" s="72"/>
      <c r="E21" s="72"/>
      <c r="F21" s="72"/>
      <c r="G21" s="211"/>
      <c r="H21" s="72"/>
      <c r="I21" s="247"/>
      <c r="J21" s="208"/>
      <c r="K21" s="227"/>
      <c r="L21" s="208"/>
      <c r="M21" s="288"/>
      <c r="N21" s="264"/>
      <c r="O21" s="278"/>
      <c r="P21" s="253"/>
      <c r="Q21" s="224"/>
      <c r="R21" s="221"/>
      <c r="S21" s="270"/>
      <c r="T21" s="228"/>
      <c r="U21" s="72"/>
      <c r="V21" s="72"/>
      <c r="W21" s="72"/>
      <c r="X21" s="282"/>
      <c r="Y21" s="250"/>
      <c r="Z21" s="265"/>
      <c r="AA21" s="72"/>
      <c r="AB21" s="228"/>
      <c r="AC21" s="278"/>
      <c r="AD21" s="72"/>
      <c r="AE21" s="72"/>
      <c r="AF21" s="72"/>
    </row>
    <row r="22" spans="1:32" ht="20.25" customHeight="1" hidden="1">
      <c r="A22" s="28" t="s">
        <v>206</v>
      </c>
      <c r="B22" s="72">
        <v>1300</v>
      </c>
      <c r="C22" s="72">
        <v>140</v>
      </c>
      <c r="D22" s="40">
        <f aca="true" t="shared" si="8" ref="D22:AF22">D23+D24</f>
        <v>0</v>
      </c>
      <c r="E22" s="40">
        <f t="shared" si="8"/>
        <v>0</v>
      </c>
      <c r="F22" s="40">
        <f t="shared" si="8"/>
        <v>0</v>
      </c>
      <c r="G22" s="40">
        <f>G23+G24</f>
        <v>0</v>
      </c>
      <c r="H22" s="40">
        <f t="shared" si="8"/>
        <v>0</v>
      </c>
      <c r="I22" s="40">
        <f aca="true" t="shared" si="9" ref="I22:P22">I23+I24</f>
        <v>0</v>
      </c>
      <c r="J22" s="40">
        <f t="shared" si="9"/>
        <v>0</v>
      </c>
      <c r="K22" s="40">
        <f t="shared" si="9"/>
        <v>0</v>
      </c>
      <c r="L22" s="40">
        <f t="shared" si="9"/>
        <v>0</v>
      </c>
      <c r="M22" s="40">
        <f>M23+M24</f>
        <v>0</v>
      </c>
      <c r="N22" s="40">
        <f>N23+N24</f>
        <v>0</v>
      </c>
      <c r="O22" s="40">
        <f>O23+O24</f>
        <v>0</v>
      </c>
      <c r="P22" s="40">
        <f t="shared" si="9"/>
        <v>0</v>
      </c>
      <c r="Q22" s="40">
        <f t="shared" si="8"/>
        <v>0</v>
      </c>
      <c r="R22" s="40">
        <f>R23+R24</f>
        <v>0</v>
      </c>
      <c r="S22" s="40">
        <f>S23+S24</f>
        <v>0</v>
      </c>
      <c r="T22" s="40">
        <f>T23+T24</f>
        <v>0</v>
      </c>
      <c r="U22" s="40">
        <f t="shared" si="8"/>
        <v>0</v>
      </c>
      <c r="V22" s="40">
        <f t="shared" si="8"/>
        <v>0</v>
      </c>
      <c r="W22" s="40">
        <f>W23+W24</f>
        <v>0</v>
      </c>
      <c r="X22" s="40">
        <f>X23+X24</f>
        <v>0</v>
      </c>
      <c r="Y22" s="40">
        <f t="shared" si="8"/>
        <v>0</v>
      </c>
      <c r="Z22" s="40">
        <f t="shared" si="8"/>
        <v>0</v>
      </c>
      <c r="AA22" s="40">
        <f t="shared" si="8"/>
        <v>0</v>
      </c>
      <c r="AB22" s="40">
        <f t="shared" si="8"/>
        <v>0</v>
      </c>
      <c r="AC22" s="40">
        <f t="shared" si="8"/>
        <v>0</v>
      </c>
      <c r="AD22" s="40">
        <f t="shared" si="8"/>
        <v>0</v>
      </c>
      <c r="AE22" s="40">
        <f t="shared" si="8"/>
        <v>0</v>
      </c>
      <c r="AF22" s="40">
        <f t="shared" si="8"/>
        <v>0</v>
      </c>
    </row>
    <row r="23" spans="1:32" ht="64.5" customHeight="1" hidden="1">
      <c r="A23" s="36" t="s">
        <v>207</v>
      </c>
      <c r="B23" s="72">
        <v>1310</v>
      </c>
      <c r="C23" s="72">
        <v>140</v>
      </c>
      <c r="D23" s="72"/>
      <c r="E23" s="72"/>
      <c r="F23" s="72"/>
      <c r="G23" s="211"/>
      <c r="H23" s="72"/>
      <c r="I23" s="247"/>
      <c r="J23" s="208"/>
      <c r="K23" s="227"/>
      <c r="L23" s="208"/>
      <c r="M23" s="288"/>
      <c r="N23" s="264"/>
      <c r="O23" s="278"/>
      <c r="P23" s="253"/>
      <c r="Q23" s="224"/>
      <c r="R23" s="221"/>
      <c r="S23" s="270"/>
      <c r="T23" s="228"/>
      <c r="U23" s="72"/>
      <c r="V23" s="72"/>
      <c r="W23" s="72"/>
      <c r="X23" s="282"/>
      <c r="Y23" s="250"/>
      <c r="Z23" s="265"/>
      <c r="AA23" s="72"/>
      <c r="AB23" s="228"/>
      <c r="AC23" s="278"/>
      <c r="AD23" s="72"/>
      <c r="AE23" s="72"/>
      <c r="AF23" s="72"/>
    </row>
    <row r="24" spans="1:32" ht="28.5" customHeight="1" hidden="1">
      <c r="A24" s="36" t="s">
        <v>67</v>
      </c>
      <c r="B24" s="72">
        <v>1320</v>
      </c>
      <c r="C24" s="72">
        <v>140</v>
      </c>
      <c r="D24" s="72"/>
      <c r="E24" s="72"/>
      <c r="F24" s="72"/>
      <c r="G24" s="211"/>
      <c r="H24" s="72"/>
      <c r="I24" s="247"/>
      <c r="J24" s="208"/>
      <c r="K24" s="227"/>
      <c r="L24" s="208"/>
      <c r="M24" s="288"/>
      <c r="N24" s="264"/>
      <c r="O24" s="278"/>
      <c r="P24" s="253"/>
      <c r="Q24" s="224"/>
      <c r="R24" s="221"/>
      <c r="S24" s="270"/>
      <c r="T24" s="228"/>
      <c r="U24" s="72"/>
      <c r="V24" s="72"/>
      <c r="W24" s="72"/>
      <c r="X24" s="282"/>
      <c r="Y24" s="250"/>
      <c r="Z24" s="265"/>
      <c r="AA24" s="72"/>
      <c r="AB24" s="228"/>
      <c r="AC24" s="278"/>
      <c r="AD24" s="72"/>
      <c r="AE24" s="72"/>
      <c r="AF24" s="72"/>
    </row>
    <row r="25" spans="1:32" ht="23.25" customHeight="1" hidden="1">
      <c r="A25" s="35" t="s">
        <v>208</v>
      </c>
      <c r="B25" s="72">
        <v>1400</v>
      </c>
      <c r="C25" s="72">
        <v>150</v>
      </c>
      <c r="D25" s="40">
        <f aca="true" t="shared" si="10" ref="D25:AF25">D26+D27+D28</f>
        <v>0</v>
      </c>
      <c r="E25" s="40">
        <f t="shared" si="10"/>
        <v>0</v>
      </c>
      <c r="F25" s="40">
        <f t="shared" si="10"/>
        <v>0</v>
      </c>
      <c r="G25" s="40">
        <f>G26+G27+G28</f>
        <v>0</v>
      </c>
      <c r="H25" s="40">
        <f t="shared" si="10"/>
        <v>0</v>
      </c>
      <c r="I25" s="40">
        <f aca="true" t="shared" si="11" ref="I25:P25">I26+I27+I28</f>
        <v>0</v>
      </c>
      <c r="J25" s="40">
        <f t="shared" si="11"/>
        <v>0</v>
      </c>
      <c r="K25" s="40">
        <f t="shared" si="11"/>
        <v>0</v>
      </c>
      <c r="L25" s="40">
        <f t="shared" si="11"/>
        <v>0</v>
      </c>
      <c r="M25" s="40">
        <f>M26+M27+M28</f>
        <v>0</v>
      </c>
      <c r="N25" s="40">
        <f>N26+N27+N28</f>
        <v>0</v>
      </c>
      <c r="O25" s="40">
        <f>O26+O27+O28</f>
        <v>0</v>
      </c>
      <c r="P25" s="40">
        <f t="shared" si="11"/>
        <v>0</v>
      </c>
      <c r="Q25" s="40">
        <f t="shared" si="10"/>
        <v>0</v>
      </c>
      <c r="R25" s="40">
        <f>R26+R27+R28</f>
        <v>0</v>
      </c>
      <c r="S25" s="40">
        <f>S26+S27+S28</f>
        <v>0</v>
      </c>
      <c r="T25" s="40">
        <f>T26+T27+T28</f>
        <v>0</v>
      </c>
      <c r="U25" s="40">
        <f t="shared" si="10"/>
        <v>0</v>
      </c>
      <c r="V25" s="40">
        <f t="shared" si="10"/>
        <v>0</v>
      </c>
      <c r="W25" s="40">
        <f>W26+W27+W28</f>
        <v>0</v>
      </c>
      <c r="X25" s="40">
        <f>X26+X27+X28</f>
        <v>0</v>
      </c>
      <c r="Y25" s="40">
        <f t="shared" si="10"/>
        <v>0</v>
      </c>
      <c r="Z25" s="40">
        <f t="shared" si="10"/>
        <v>0</v>
      </c>
      <c r="AA25" s="40">
        <f t="shared" si="10"/>
        <v>0</v>
      </c>
      <c r="AB25" s="40">
        <f t="shared" si="10"/>
        <v>0</v>
      </c>
      <c r="AC25" s="40">
        <f t="shared" si="10"/>
        <v>0</v>
      </c>
      <c r="AD25" s="40">
        <f t="shared" si="10"/>
        <v>0</v>
      </c>
      <c r="AE25" s="40">
        <f t="shared" si="10"/>
        <v>0</v>
      </c>
      <c r="AF25" s="40">
        <f t="shared" si="10"/>
        <v>0</v>
      </c>
    </row>
    <row r="26" spans="1:32"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spans="1:32"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row>
    <row r="28" spans="1:32"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row>
    <row r="29" spans="1:32" ht="22.5" customHeight="1" hidden="1">
      <c r="A29" s="35" t="s">
        <v>212</v>
      </c>
      <c r="B29" s="72">
        <v>1500</v>
      </c>
      <c r="C29" s="72" t="s">
        <v>203</v>
      </c>
      <c r="D29" s="40">
        <f aca="true" t="shared" si="12" ref="D29:AF29">D30+D31+D32+D33</f>
        <v>10742117.559999999</v>
      </c>
      <c r="E29" s="40">
        <f t="shared" si="12"/>
        <v>2041200</v>
      </c>
      <c r="F29" s="40">
        <f t="shared" si="12"/>
        <v>300000</v>
      </c>
      <c r="G29" s="40">
        <f>G30+G31+G32+G33</f>
        <v>370000</v>
      </c>
      <c r="H29" s="40">
        <f t="shared" si="12"/>
        <v>0</v>
      </c>
      <c r="I29" s="40">
        <f aca="true" t="shared" si="13" ref="I29:P29">I30+I31+I32+I33</f>
        <v>0</v>
      </c>
      <c r="J29" s="40">
        <f t="shared" si="13"/>
        <v>0</v>
      </c>
      <c r="K29" s="40">
        <f t="shared" si="13"/>
        <v>0</v>
      </c>
      <c r="L29" s="40">
        <f t="shared" si="13"/>
        <v>31600</v>
      </c>
      <c r="M29" s="40">
        <f>M30+M31+M32+M33</f>
        <v>5500</v>
      </c>
      <c r="N29" s="40">
        <f>N30+N31+N32+N33</f>
        <v>45100</v>
      </c>
      <c r="O29" s="40">
        <f>O30+O31+O32+O33</f>
        <v>280288.8</v>
      </c>
      <c r="P29" s="40">
        <f t="shared" si="13"/>
        <v>9900</v>
      </c>
      <c r="Q29" s="40">
        <f t="shared" si="12"/>
        <v>328104</v>
      </c>
      <c r="R29" s="40">
        <f>R30+R31+R32+R33</f>
        <v>1074150</v>
      </c>
      <c r="S29" s="40">
        <f>S30+S31+S32+S33</f>
        <v>937440</v>
      </c>
      <c r="T29" s="40">
        <f>T30+T31+T32+T33</f>
        <v>562464</v>
      </c>
      <c r="U29" s="40">
        <f t="shared" si="12"/>
        <v>25958.83</v>
      </c>
      <c r="V29" s="40">
        <f t="shared" si="12"/>
        <v>999700</v>
      </c>
      <c r="W29" s="40">
        <f>W30+W31+W32+W33</f>
        <v>161100</v>
      </c>
      <c r="X29" s="40">
        <f>X30+X31+X32+X33</f>
        <v>78503</v>
      </c>
      <c r="Y29" s="40">
        <f t="shared" si="12"/>
        <v>0</v>
      </c>
      <c r="Z29" s="40">
        <f t="shared" si="12"/>
        <v>0</v>
      </c>
      <c r="AA29" s="40">
        <f t="shared" si="12"/>
        <v>0</v>
      </c>
      <c r="AB29" s="40">
        <f t="shared" si="12"/>
        <v>24912.53</v>
      </c>
      <c r="AC29" s="40">
        <f t="shared" si="12"/>
        <v>57039.6</v>
      </c>
      <c r="AD29" s="40">
        <f t="shared" si="12"/>
        <v>3409156.8</v>
      </c>
      <c r="AE29" s="40">
        <f t="shared" si="12"/>
        <v>0</v>
      </c>
      <c r="AF29" s="40">
        <f t="shared" si="12"/>
        <v>0</v>
      </c>
    </row>
    <row r="30" spans="1:32" ht="57.75" customHeight="1">
      <c r="A30" s="36" t="s">
        <v>210</v>
      </c>
      <c r="B30" s="72">
        <v>1510</v>
      </c>
      <c r="C30" s="31">
        <v>150</v>
      </c>
      <c r="D30" s="40">
        <f>SUM(E30:AF30)</f>
        <v>10742117.559999999</v>
      </c>
      <c r="E30" s="52">
        <v>2041200</v>
      </c>
      <c r="F30" s="52">
        <v>300000</v>
      </c>
      <c r="G30" s="40">
        <f>390000-20000</f>
        <v>370000</v>
      </c>
      <c r="H30" s="40"/>
      <c r="I30" s="40"/>
      <c r="J30" s="40"/>
      <c r="K30" s="40"/>
      <c r="L30" s="40">
        <v>31600</v>
      </c>
      <c r="M30" s="40">
        <v>5500</v>
      </c>
      <c r="N30" s="40">
        <v>45100</v>
      </c>
      <c r="O30" s="40">
        <v>280288.8</v>
      </c>
      <c r="P30" s="40">
        <v>9900</v>
      </c>
      <c r="Q30" s="40">
        <v>328104</v>
      </c>
      <c r="R30" s="40">
        <v>1074150</v>
      </c>
      <c r="S30" s="40">
        <v>937440</v>
      </c>
      <c r="T30" s="40">
        <v>562464</v>
      </c>
      <c r="U30" s="40">
        <f>22092.27+3866.56</f>
        <v>25958.83</v>
      </c>
      <c r="V30" s="40">
        <v>999700</v>
      </c>
      <c r="W30" s="40">
        <v>161100</v>
      </c>
      <c r="X30" s="40">
        <v>78503</v>
      </c>
      <c r="Y30" s="40"/>
      <c r="Z30" s="40"/>
      <c r="AA30" s="40"/>
      <c r="AB30" s="40">
        <v>24912.53</v>
      </c>
      <c r="AC30" s="40">
        <v>57039.6</v>
      </c>
      <c r="AD30" s="40">
        <v>3409156.8</v>
      </c>
      <c r="AE30" s="40"/>
      <c r="AF30" s="40"/>
    </row>
    <row r="31" spans="1:32"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row>
    <row r="32" spans="1:32"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2"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ht="15.75" hidden="1">
      <c r="A34" s="28" t="s">
        <v>213</v>
      </c>
      <c r="B34" s="72">
        <v>1600</v>
      </c>
      <c r="C34" s="72" t="s">
        <v>203</v>
      </c>
      <c r="D34" s="40">
        <f aca="true" t="shared" si="14" ref="D34:AF34">D35+D36</f>
        <v>0</v>
      </c>
      <c r="E34" s="40">
        <f t="shared" si="14"/>
        <v>0</v>
      </c>
      <c r="F34" s="40">
        <f t="shared" si="14"/>
        <v>0</v>
      </c>
      <c r="G34" s="40">
        <f>G35+G36</f>
        <v>0</v>
      </c>
      <c r="H34" s="40">
        <f t="shared" si="14"/>
        <v>0</v>
      </c>
      <c r="I34" s="40">
        <f aca="true" t="shared" si="15" ref="I34:P34">I35+I36</f>
        <v>0</v>
      </c>
      <c r="J34" s="40">
        <f t="shared" si="15"/>
        <v>0</v>
      </c>
      <c r="K34" s="40">
        <f t="shared" si="15"/>
        <v>0</v>
      </c>
      <c r="L34" s="40">
        <f t="shared" si="15"/>
        <v>0</v>
      </c>
      <c r="M34" s="40">
        <f>M35+M36</f>
        <v>0</v>
      </c>
      <c r="N34" s="40">
        <f>N35+N36</f>
        <v>0</v>
      </c>
      <c r="O34" s="40">
        <f>O35+O36</f>
        <v>0</v>
      </c>
      <c r="P34" s="40">
        <f t="shared" si="15"/>
        <v>0</v>
      </c>
      <c r="Q34" s="40">
        <f t="shared" si="14"/>
        <v>0</v>
      </c>
      <c r="R34" s="40">
        <f>R35+R36</f>
        <v>0</v>
      </c>
      <c r="S34" s="40">
        <f>S35+S36</f>
        <v>0</v>
      </c>
      <c r="T34" s="40">
        <f>T35+T36</f>
        <v>0</v>
      </c>
      <c r="U34" s="40">
        <f t="shared" si="14"/>
        <v>0</v>
      </c>
      <c r="V34" s="40">
        <f t="shared" si="14"/>
        <v>0</v>
      </c>
      <c r="W34" s="40">
        <f>W35+W36</f>
        <v>0</v>
      </c>
      <c r="X34" s="40">
        <f>X35+X36</f>
        <v>0</v>
      </c>
      <c r="Y34" s="40">
        <f t="shared" si="14"/>
        <v>0</v>
      </c>
      <c r="Z34" s="40">
        <f t="shared" si="14"/>
        <v>0</v>
      </c>
      <c r="AA34" s="40">
        <f t="shared" si="14"/>
        <v>0</v>
      </c>
      <c r="AB34" s="40">
        <f t="shared" si="14"/>
        <v>0</v>
      </c>
      <c r="AC34" s="40">
        <f t="shared" si="14"/>
        <v>0</v>
      </c>
      <c r="AD34" s="40">
        <f t="shared" si="14"/>
        <v>0</v>
      </c>
      <c r="AE34" s="40">
        <f t="shared" si="14"/>
        <v>0</v>
      </c>
      <c r="AF34" s="40">
        <f t="shared" si="14"/>
        <v>0</v>
      </c>
    </row>
    <row r="35" spans="1:32"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row>
    <row r="36" spans="1:32"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row>
    <row r="37" spans="1:32" ht="15.75" hidden="1">
      <c r="A37" s="28" t="s">
        <v>216</v>
      </c>
      <c r="B37" s="72">
        <v>1700</v>
      </c>
      <c r="C37" s="72" t="s">
        <v>203</v>
      </c>
      <c r="D37" s="40">
        <f aca="true" t="shared" si="16" ref="D37:AF37">D38+D39</f>
        <v>0</v>
      </c>
      <c r="E37" s="40">
        <f t="shared" si="16"/>
        <v>0</v>
      </c>
      <c r="F37" s="40">
        <f t="shared" si="16"/>
        <v>0</v>
      </c>
      <c r="G37" s="40">
        <f>G38+G39</f>
        <v>0</v>
      </c>
      <c r="H37" s="40">
        <f t="shared" si="16"/>
        <v>0</v>
      </c>
      <c r="I37" s="40">
        <f aca="true" t="shared" si="17" ref="I37:P37">I38+I39</f>
        <v>0</v>
      </c>
      <c r="J37" s="40">
        <f t="shared" si="17"/>
        <v>0</v>
      </c>
      <c r="K37" s="40">
        <f t="shared" si="17"/>
        <v>0</v>
      </c>
      <c r="L37" s="40">
        <f t="shared" si="17"/>
        <v>0</v>
      </c>
      <c r="M37" s="40">
        <f>M38+M39</f>
        <v>0</v>
      </c>
      <c r="N37" s="40">
        <f>N38+N39</f>
        <v>0</v>
      </c>
      <c r="O37" s="40">
        <f>O38+O39</f>
        <v>0</v>
      </c>
      <c r="P37" s="40">
        <f t="shared" si="17"/>
        <v>0</v>
      </c>
      <c r="Q37" s="40">
        <f t="shared" si="16"/>
        <v>0</v>
      </c>
      <c r="R37" s="40">
        <f>R38+R39</f>
        <v>0</v>
      </c>
      <c r="S37" s="40">
        <f>S38+S39</f>
        <v>0</v>
      </c>
      <c r="T37" s="40">
        <f>T38+T39</f>
        <v>0</v>
      </c>
      <c r="U37" s="40">
        <f t="shared" si="16"/>
        <v>0</v>
      </c>
      <c r="V37" s="40">
        <f t="shared" si="16"/>
        <v>0</v>
      </c>
      <c r="W37" s="40">
        <f>W38+W39</f>
        <v>0</v>
      </c>
      <c r="X37" s="40">
        <f>X38+X39</f>
        <v>0</v>
      </c>
      <c r="Y37" s="40">
        <f t="shared" si="16"/>
        <v>0</v>
      </c>
      <c r="Z37" s="40">
        <f t="shared" si="16"/>
        <v>0</v>
      </c>
      <c r="AA37" s="40">
        <f t="shared" si="16"/>
        <v>0</v>
      </c>
      <c r="AB37" s="40">
        <f t="shared" si="16"/>
        <v>0</v>
      </c>
      <c r="AC37" s="40">
        <f t="shared" si="16"/>
        <v>0</v>
      </c>
      <c r="AD37" s="40">
        <f t="shared" si="16"/>
        <v>0</v>
      </c>
      <c r="AE37" s="40">
        <f t="shared" si="16"/>
        <v>0</v>
      </c>
      <c r="AF37" s="40">
        <f t="shared" si="16"/>
        <v>0</v>
      </c>
    </row>
    <row r="38" spans="1:32"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ht="15.75" hidden="1">
      <c r="A39" s="36" t="s">
        <v>219</v>
      </c>
      <c r="B39" s="72">
        <v>1720</v>
      </c>
      <c r="C39" s="72">
        <v>510</v>
      </c>
      <c r="D39" s="40">
        <f aca="true" t="shared" si="18" ref="D39:AF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row>
    <row r="40" spans="1:32"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pans="1:32" s="92" customFormat="1" ht="30.75" customHeight="1">
      <c r="A41" s="65" t="s">
        <v>220</v>
      </c>
      <c r="B41" s="72">
        <v>2000</v>
      </c>
      <c r="C41" s="72" t="s">
        <v>203</v>
      </c>
      <c r="D41" s="40">
        <f aca="true" t="shared" si="19" ref="D41:AF41">D42+D47+D52+D57+D59+D61</f>
        <v>10742117.56</v>
      </c>
      <c r="E41" s="40">
        <f t="shared" si="19"/>
        <v>2041200</v>
      </c>
      <c r="F41" s="40">
        <f t="shared" si="19"/>
        <v>300000</v>
      </c>
      <c r="G41" s="40">
        <f>G42+G47+G52+G57+G59+G61</f>
        <v>370000</v>
      </c>
      <c r="H41" s="40">
        <f t="shared" si="19"/>
        <v>0</v>
      </c>
      <c r="I41" s="40">
        <f aca="true" t="shared" si="20" ref="I41:P41">I42+I47+I52+I57+I59+I61</f>
        <v>0</v>
      </c>
      <c r="J41" s="40">
        <f t="shared" si="20"/>
        <v>0</v>
      </c>
      <c r="K41" s="40">
        <f t="shared" si="20"/>
        <v>0</v>
      </c>
      <c r="L41" s="40">
        <f t="shared" si="20"/>
        <v>31600</v>
      </c>
      <c r="M41" s="40">
        <f>M42+M47+M52+M57+M59+M61</f>
        <v>5500</v>
      </c>
      <c r="N41" s="40">
        <f t="shared" si="20"/>
        <v>45100</v>
      </c>
      <c r="O41" s="40">
        <f t="shared" si="20"/>
        <v>280288.8</v>
      </c>
      <c r="P41" s="40">
        <f t="shared" si="20"/>
        <v>9900</v>
      </c>
      <c r="Q41" s="40">
        <f t="shared" si="19"/>
        <v>328104</v>
      </c>
      <c r="R41" s="40">
        <f>R42+R47+R52+R57+R59+R61</f>
        <v>1074150</v>
      </c>
      <c r="S41" s="40">
        <f>S42+S47+S52+S57+S59+S61</f>
        <v>937440</v>
      </c>
      <c r="T41" s="40">
        <f>T42+T47+T52+T57+T59+T61</f>
        <v>562464</v>
      </c>
      <c r="U41" s="40">
        <f t="shared" si="19"/>
        <v>25958.83</v>
      </c>
      <c r="V41" s="40">
        <f t="shared" si="19"/>
        <v>999700</v>
      </c>
      <c r="W41" s="40">
        <f>W42+W47+W52+W57+W59+W61</f>
        <v>161100</v>
      </c>
      <c r="X41" s="40">
        <f>X42+X47+X52+X57+X59+X61</f>
        <v>78503</v>
      </c>
      <c r="Y41" s="40">
        <f t="shared" si="19"/>
        <v>0</v>
      </c>
      <c r="Z41" s="40">
        <f t="shared" si="19"/>
        <v>0</v>
      </c>
      <c r="AA41" s="40">
        <f t="shared" si="19"/>
        <v>0</v>
      </c>
      <c r="AB41" s="40">
        <f t="shared" si="19"/>
        <v>24912.53</v>
      </c>
      <c r="AC41" s="40">
        <f t="shared" si="19"/>
        <v>57039.6</v>
      </c>
      <c r="AD41" s="40">
        <f t="shared" si="19"/>
        <v>3409156.8</v>
      </c>
      <c r="AE41" s="40">
        <f t="shared" si="19"/>
        <v>0</v>
      </c>
      <c r="AF41" s="40">
        <f t="shared" si="19"/>
        <v>0</v>
      </c>
    </row>
    <row r="42" spans="1:32" s="92" customFormat="1" ht="31.5">
      <c r="A42" s="28" t="s">
        <v>221</v>
      </c>
      <c r="B42" s="72">
        <v>2100</v>
      </c>
      <c r="C42" s="72" t="s">
        <v>203</v>
      </c>
      <c r="D42" s="40">
        <f aca="true" t="shared" si="21" ref="D42:AF42">D43+D44+D45+D46</f>
        <v>7050243.2</v>
      </c>
      <c r="E42" s="40">
        <f t="shared" si="21"/>
        <v>0</v>
      </c>
      <c r="F42" s="40">
        <f t="shared" si="21"/>
        <v>0</v>
      </c>
      <c r="G42" s="40">
        <f>G43+G44+G45+G46</f>
        <v>370000</v>
      </c>
      <c r="H42" s="40">
        <f t="shared" si="21"/>
        <v>0</v>
      </c>
      <c r="I42" s="40">
        <f aca="true" t="shared" si="22" ref="I42:P42">I43+I44+I45+I46</f>
        <v>0</v>
      </c>
      <c r="J42" s="40">
        <f t="shared" si="22"/>
        <v>0</v>
      </c>
      <c r="K42" s="40">
        <f t="shared" si="22"/>
        <v>0</v>
      </c>
      <c r="L42" s="40">
        <f t="shared" si="22"/>
        <v>31600</v>
      </c>
      <c r="M42" s="40">
        <f>M43+M44+M45+M46</f>
        <v>0</v>
      </c>
      <c r="N42" s="40">
        <f t="shared" si="22"/>
        <v>0</v>
      </c>
      <c r="O42" s="40">
        <f>O43+O44+O45+O46</f>
        <v>280288.8</v>
      </c>
      <c r="P42" s="40">
        <f t="shared" si="22"/>
        <v>0</v>
      </c>
      <c r="Q42" s="40">
        <f t="shared" si="21"/>
        <v>328104</v>
      </c>
      <c r="R42" s="40">
        <f>R43+R44+R45+R46</f>
        <v>1074150</v>
      </c>
      <c r="S42" s="40">
        <f>S43+S44+S45+S46</f>
        <v>937440</v>
      </c>
      <c r="T42" s="40">
        <f>T43+T44+T45+T46</f>
        <v>562464</v>
      </c>
      <c r="U42" s="40">
        <f t="shared" si="21"/>
        <v>0</v>
      </c>
      <c r="V42" s="40">
        <f t="shared" si="21"/>
        <v>0</v>
      </c>
      <c r="W42" s="40">
        <f>W43+W44+W45+W46</f>
        <v>0</v>
      </c>
      <c r="X42" s="40">
        <f>X43+X44+X45+X46</f>
        <v>0</v>
      </c>
      <c r="Y42" s="40">
        <f t="shared" si="21"/>
        <v>0</v>
      </c>
      <c r="Z42" s="40">
        <f t="shared" si="21"/>
        <v>0</v>
      </c>
      <c r="AA42" s="40">
        <f t="shared" si="21"/>
        <v>0</v>
      </c>
      <c r="AB42" s="40">
        <f t="shared" si="21"/>
        <v>0</v>
      </c>
      <c r="AC42" s="40">
        <f t="shared" si="21"/>
        <v>57039.6</v>
      </c>
      <c r="AD42" s="40">
        <f t="shared" si="21"/>
        <v>3409156.8</v>
      </c>
      <c r="AE42" s="40">
        <f t="shared" si="21"/>
        <v>0</v>
      </c>
      <c r="AF42" s="40">
        <f t="shared" si="21"/>
        <v>0</v>
      </c>
    </row>
    <row r="43" spans="1:32" ht="35.25" customHeight="1">
      <c r="A43" s="36" t="s">
        <v>222</v>
      </c>
      <c r="B43" s="72">
        <v>2110</v>
      </c>
      <c r="C43" s="72">
        <v>111</v>
      </c>
      <c r="D43" s="40">
        <f>SUM(E43:AF43)</f>
        <v>5106500</v>
      </c>
      <c r="E43" s="40"/>
      <c r="F43" s="40"/>
      <c r="G43" s="40"/>
      <c r="H43" s="40"/>
      <c r="I43" s="40"/>
      <c r="J43" s="40"/>
      <c r="K43" s="40"/>
      <c r="L43" s="40"/>
      <c r="M43" s="40"/>
      <c r="N43" s="40"/>
      <c r="O43" s="40">
        <v>215300</v>
      </c>
      <c r="P43" s="40"/>
      <c r="Q43" s="40">
        <v>252000</v>
      </c>
      <c r="R43" s="268">
        <v>825000</v>
      </c>
      <c r="S43" s="268">
        <v>720000</v>
      </c>
      <c r="T43" s="40">
        <v>432000</v>
      </c>
      <c r="U43" s="40"/>
      <c r="V43" s="40"/>
      <c r="W43" s="40"/>
      <c r="X43" s="40"/>
      <c r="Y43" s="40"/>
      <c r="Z43" s="40"/>
      <c r="AA43" s="268"/>
      <c r="AB43" s="40"/>
      <c r="AC43" s="40">
        <v>43800</v>
      </c>
      <c r="AD43" s="40">
        <v>2618400</v>
      </c>
      <c r="AE43" s="40"/>
      <c r="AF43" s="40"/>
    </row>
    <row r="44" spans="1:32" ht="31.5" customHeight="1">
      <c r="A44" s="36" t="s">
        <v>73</v>
      </c>
      <c r="B44" s="72">
        <v>2120</v>
      </c>
      <c r="C44" s="72">
        <v>112</v>
      </c>
      <c r="D44" s="40">
        <f>SUM(E44:AF44)</f>
        <v>401600</v>
      </c>
      <c r="E44" s="40"/>
      <c r="F44" s="52"/>
      <c r="G44" s="40">
        <f>390000-20000</f>
        <v>370000</v>
      </c>
      <c r="H44" s="40"/>
      <c r="I44" s="40"/>
      <c r="J44" s="40"/>
      <c r="K44" s="40"/>
      <c r="L44" s="40">
        <v>31600</v>
      </c>
      <c r="M44" s="40"/>
      <c r="N44" s="40"/>
      <c r="O44" s="40"/>
      <c r="P44" s="40"/>
      <c r="Q44" s="40"/>
      <c r="R44" s="40"/>
      <c r="S44" s="40"/>
      <c r="T44" s="40"/>
      <c r="U44" s="40"/>
      <c r="V44" s="40"/>
      <c r="W44" s="40"/>
      <c r="X44" s="40"/>
      <c r="Y44" s="40"/>
      <c r="Z44" s="40"/>
      <c r="AA44" s="40"/>
      <c r="AB44" s="40"/>
      <c r="AC44" s="40"/>
      <c r="AD44" s="40"/>
      <c r="AE44" s="40"/>
      <c r="AF44" s="40"/>
    </row>
    <row r="45" spans="1:32" ht="37.5" customHeight="1" hidden="1">
      <c r="A45" s="36" t="s">
        <v>74</v>
      </c>
      <c r="B45" s="72">
        <v>2130</v>
      </c>
      <c r="C45" s="72">
        <v>113</v>
      </c>
      <c r="D45" s="40">
        <f>SUM(E45:AF45)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2" ht="38.25" customHeight="1">
      <c r="A46" s="36" t="s">
        <v>223</v>
      </c>
      <c r="B46" s="72">
        <v>2140</v>
      </c>
      <c r="C46" s="72">
        <v>119</v>
      </c>
      <c r="D46" s="40">
        <f>SUM(E46:AF46)</f>
        <v>1542143.2000000002</v>
      </c>
      <c r="E46" s="40"/>
      <c r="F46" s="40"/>
      <c r="G46" s="40"/>
      <c r="H46" s="40"/>
      <c r="I46" s="40"/>
      <c r="J46" s="40"/>
      <c r="K46" s="40"/>
      <c r="L46" s="40"/>
      <c r="M46" s="40"/>
      <c r="N46" s="40"/>
      <c r="O46" s="40">
        <v>64988.8</v>
      </c>
      <c r="P46" s="40"/>
      <c r="Q46" s="40">
        <v>76104</v>
      </c>
      <c r="R46" s="268">
        <v>249150</v>
      </c>
      <c r="S46" s="268">
        <v>217440</v>
      </c>
      <c r="T46" s="40">
        <v>130464</v>
      </c>
      <c r="U46" s="40"/>
      <c r="V46" s="40"/>
      <c r="W46" s="40"/>
      <c r="X46" s="40"/>
      <c r="Y46" s="40"/>
      <c r="Z46" s="40"/>
      <c r="AA46" s="268"/>
      <c r="AB46" s="40"/>
      <c r="AC46" s="40">
        <v>13239.6</v>
      </c>
      <c r="AD46" s="40">
        <v>790756.8</v>
      </c>
      <c r="AE46" s="40"/>
      <c r="AF46" s="40"/>
    </row>
    <row r="47" spans="1:32" s="92" customFormat="1" ht="25.5" customHeight="1">
      <c r="A47" s="28" t="s">
        <v>224</v>
      </c>
      <c r="B47" s="72">
        <v>2200</v>
      </c>
      <c r="C47" s="72">
        <v>300</v>
      </c>
      <c r="D47" s="40">
        <f>D48+D49+D51+D50</f>
        <v>50871.36</v>
      </c>
      <c r="E47" s="40">
        <f aca="true" t="shared" si="23" ref="E47:M47">E48+E49+E51</f>
        <v>0</v>
      </c>
      <c r="F47" s="40">
        <f t="shared" si="23"/>
        <v>0</v>
      </c>
      <c r="G47" s="40">
        <f t="shared" si="23"/>
        <v>0</v>
      </c>
      <c r="H47" s="40">
        <f t="shared" si="23"/>
        <v>0</v>
      </c>
      <c r="I47" s="40">
        <f t="shared" si="23"/>
        <v>0</v>
      </c>
      <c r="J47" s="40">
        <f t="shared" si="23"/>
        <v>0</v>
      </c>
      <c r="K47" s="40">
        <f t="shared" si="23"/>
        <v>0</v>
      </c>
      <c r="L47" s="40">
        <f t="shared" si="23"/>
        <v>0</v>
      </c>
      <c r="M47" s="40">
        <f t="shared" si="23"/>
        <v>0</v>
      </c>
      <c r="N47" s="40">
        <f>N48+N49+N50+N51</f>
        <v>0</v>
      </c>
      <c r="O47" s="40">
        <f>O48+O49+O51</f>
        <v>0</v>
      </c>
      <c r="P47" s="40">
        <f>P48+P49+P50+P51</f>
        <v>0</v>
      </c>
      <c r="Q47" s="40">
        <f aca="true" t="shared" si="24" ref="Q47:AF47">Q48+Q49+Q51</f>
        <v>0</v>
      </c>
      <c r="R47" s="40">
        <f t="shared" si="24"/>
        <v>0</v>
      </c>
      <c r="S47" s="40">
        <f t="shared" si="24"/>
        <v>0</v>
      </c>
      <c r="T47" s="40">
        <f t="shared" si="24"/>
        <v>0</v>
      </c>
      <c r="U47" s="40">
        <f t="shared" si="24"/>
        <v>25958.83</v>
      </c>
      <c r="V47" s="40">
        <f t="shared" si="24"/>
        <v>0</v>
      </c>
      <c r="W47" s="40">
        <f t="shared" si="24"/>
        <v>0</v>
      </c>
      <c r="X47" s="40">
        <f t="shared" si="24"/>
        <v>0</v>
      </c>
      <c r="Y47" s="40">
        <f t="shared" si="24"/>
        <v>0</v>
      </c>
      <c r="Z47" s="40">
        <f t="shared" si="24"/>
        <v>0</v>
      </c>
      <c r="AA47" s="40">
        <f t="shared" si="24"/>
        <v>0</v>
      </c>
      <c r="AB47" s="40">
        <f t="shared" si="24"/>
        <v>24912.53</v>
      </c>
      <c r="AC47" s="40">
        <f t="shared" si="24"/>
        <v>0</v>
      </c>
      <c r="AD47" s="40">
        <f t="shared" si="24"/>
        <v>0</v>
      </c>
      <c r="AE47" s="40">
        <f t="shared" si="24"/>
        <v>0</v>
      </c>
      <c r="AF47" s="40">
        <f t="shared" si="24"/>
        <v>0</v>
      </c>
    </row>
    <row r="48" spans="1:32"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1:32" ht="36.75" customHeight="1">
      <c r="A49" s="36" t="s">
        <v>75</v>
      </c>
      <c r="B49" s="72">
        <v>2220</v>
      </c>
      <c r="C49" s="72">
        <v>321</v>
      </c>
      <c r="D49" s="40">
        <f>SUM(E49:AF49)</f>
        <v>50871.36</v>
      </c>
      <c r="E49" s="40"/>
      <c r="F49" s="40"/>
      <c r="G49" s="40"/>
      <c r="H49" s="40"/>
      <c r="I49" s="40"/>
      <c r="J49" s="40"/>
      <c r="K49" s="40"/>
      <c r="L49" s="40"/>
      <c r="M49" s="40"/>
      <c r="N49" s="40"/>
      <c r="O49" s="40"/>
      <c r="P49" s="40"/>
      <c r="Q49" s="40"/>
      <c r="R49" s="40"/>
      <c r="S49" s="40"/>
      <c r="T49" s="40"/>
      <c r="U49" s="40">
        <f>22092.27+3866.56</f>
        <v>25958.83</v>
      </c>
      <c r="V49" s="40"/>
      <c r="W49" s="40"/>
      <c r="X49" s="40"/>
      <c r="Y49" s="40"/>
      <c r="Z49" s="40"/>
      <c r="AA49" s="40"/>
      <c r="AB49" s="40">
        <v>24912.53</v>
      </c>
      <c r="AC49" s="40"/>
      <c r="AD49" s="40"/>
      <c r="AE49" s="40"/>
      <c r="AF49" s="40"/>
    </row>
    <row r="50" spans="1:60" s="251" customFormat="1" ht="36.75" customHeight="1">
      <c r="A50" s="36" t="s">
        <v>477</v>
      </c>
      <c r="B50" s="31">
        <v>2230</v>
      </c>
      <c r="C50" s="31">
        <v>323</v>
      </c>
      <c r="D50" s="40">
        <f>SUM(E50:BH50)</f>
        <v>0</v>
      </c>
      <c r="E50" s="40"/>
      <c r="F50" s="40"/>
      <c r="G50" s="40"/>
      <c r="H50" s="40"/>
      <c r="I50" s="40"/>
      <c r="J50" s="40"/>
      <c r="K50" s="40"/>
      <c r="L50" s="40"/>
      <c r="M50" s="40"/>
      <c r="N50" s="40"/>
      <c r="O50" s="40"/>
      <c r="P50" s="40"/>
      <c r="Q50" s="40"/>
      <c r="R50" s="40"/>
      <c r="S50" s="40"/>
      <c r="T50" s="94"/>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row>
    <row r="51" spans="1:32" ht="36.75" customHeight="1">
      <c r="A51" s="36" t="s">
        <v>302</v>
      </c>
      <c r="B51" s="72">
        <v>2220</v>
      </c>
      <c r="C51" s="72">
        <v>350</v>
      </c>
      <c r="D51" s="40">
        <f>SUM(E51:AF51)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s="92" customFormat="1" ht="26.25" customHeight="1" hidden="1">
      <c r="A52" s="28" t="s">
        <v>226</v>
      </c>
      <c r="B52" s="72">
        <v>2300</v>
      </c>
      <c r="C52" s="72">
        <v>850</v>
      </c>
      <c r="D52" s="40">
        <f aca="true" t="shared" si="25" ref="D52:AF52">D53+D54+D55+D56</f>
        <v>0</v>
      </c>
      <c r="E52" s="40">
        <f t="shared" si="25"/>
        <v>0</v>
      </c>
      <c r="F52" s="40">
        <f t="shared" si="25"/>
        <v>0</v>
      </c>
      <c r="G52" s="40">
        <f>G53+G54+G55+G56</f>
        <v>0</v>
      </c>
      <c r="H52" s="40">
        <f t="shared" si="25"/>
        <v>0</v>
      </c>
      <c r="I52" s="40">
        <f aca="true" t="shared" si="26" ref="I52:P52">I53+I54+I55+I56</f>
        <v>0</v>
      </c>
      <c r="J52" s="40">
        <f t="shared" si="26"/>
        <v>0</v>
      </c>
      <c r="K52" s="40">
        <f t="shared" si="26"/>
        <v>0</v>
      </c>
      <c r="L52" s="40">
        <f t="shared" si="26"/>
        <v>0</v>
      </c>
      <c r="M52" s="40">
        <f>M53+M54+M55+M56</f>
        <v>0</v>
      </c>
      <c r="N52" s="40">
        <f>N53+N54+N55+N56</f>
        <v>0</v>
      </c>
      <c r="O52" s="40">
        <f>O53+O54+O55+O56</f>
        <v>0</v>
      </c>
      <c r="P52" s="40">
        <f t="shared" si="26"/>
        <v>0</v>
      </c>
      <c r="Q52" s="40">
        <f t="shared" si="25"/>
        <v>0</v>
      </c>
      <c r="R52" s="40">
        <f>R53+R54+R55+R56</f>
        <v>0</v>
      </c>
      <c r="S52" s="40">
        <f>S53+S54+S55+S56</f>
        <v>0</v>
      </c>
      <c r="T52" s="40">
        <f>T53+T54+T55+T56</f>
        <v>0</v>
      </c>
      <c r="U52" s="40">
        <f t="shared" si="25"/>
        <v>0</v>
      </c>
      <c r="V52" s="40">
        <f t="shared" si="25"/>
        <v>0</v>
      </c>
      <c r="W52" s="40">
        <f>W53+W54+W55+W56</f>
        <v>0</v>
      </c>
      <c r="X52" s="40">
        <f>X53+X54+X55+X56</f>
        <v>0</v>
      </c>
      <c r="Y52" s="40">
        <f t="shared" si="25"/>
        <v>0</v>
      </c>
      <c r="Z52" s="40">
        <f t="shared" si="25"/>
        <v>0</v>
      </c>
      <c r="AA52" s="40">
        <f t="shared" si="25"/>
        <v>0</v>
      </c>
      <c r="AB52" s="40">
        <f t="shared" si="25"/>
        <v>0</v>
      </c>
      <c r="AC52" s="40">
        <f t="shared" si="25"/>
        <v>0</v>
      </c>
      <c r="AD52" s="40">
        <f t="shared" si="25"/>
        <v>0</v>
      </c>
      <c r="AE52" s="40">
        <f t="shared" si="25"/>
        <v>0</v>
      </c>
      <c r="AF52" s="40">
        <f t="shared" si="25"/>
        <v>0</v>
      </c>
    </row>
    <row r="53" spans="1:32"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2"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1:32" s="92" customFormat="1" ht="22.5" customHeight="1" hidden="1">
      <c r="A57" s="28" t="s">
        <v>231</v>
      </c>
      <c r="B57" s="72">
        <v>2400</v>
      </c>
      <c r="C57" s="72" t="s">
        <v>203</v>
      </c>
      <c r="D57" s="40">
        <f aca="true" t="shared" si="27" ref="D57:AF57">D58</f>
        <v>0</v>
      </c>
      <c r="E57" s="40">
        <f t="shared" si="27"/>
        <v>0</v>
      </c>
      <c r="F57" s="40">
        <f t="shared" si="27"/>
        <v>0</v>
      </c>
      <c r="G57" s="40">
        <f t="shared" si="27"/>
        <v>0</v>
      </c>
      <c r="H57" s="40">
        <f t="shared" si="27"/>
        <v>0</v>
      </c>
      <c r="I57" s="40">
        <f t="shared" si="27"/>
        <v>0</v>
      </c>
      <c r="J57" s="40">
        <f t="shared" si="27"/>
        <v>0</v>
      </c>
      <c r="K57" s="40">
        <f t="shared" si="27"/>
        <v>0</v>
      </c>
      <c r="L57" s="40">
        <f t="shared" si="27"/>
        <v>0</v>
      </c>
      <c r="M57" s="40">
        <f t="shared" si="27"/>
        <v>0</v>
      </c>
      <c r="N57" s="40">
        <f t="shared" si="27"/>
        <v>0</v>
      </c>
      <c r="O57" s="40">
        <f t="shared" si="27"/>
        <v>0</v>
      </c>
      <c r="P57" s="40">
        <f t="shared" si="27"/>
        <v>0</v>
      </c>
      <c r="Q57" s="40">
        <f t="shared" si="27"/>
        <v>0</v>
      </c>
      <c r="R57" s="40">
        <f t="shared" si="27"/>
        <v>0</v>
      </c>
      <c r="S57" s="40">
        <f t="shared" si="27"/>
        <v>0</v>
      </c>
      <c r="T57" s="40">
        <f t="shared" si="27"/>
        <v>0</v>
      </c>
      <c r="U57" s="40">
        <f t="shared" si="27"/>
        <v>0</v>
      </c>
      <c r="V57" s="40">
        <f t="shared" si="27"/>
        <v>0</v>
      </c>
      <c r="W57" s="40">
        <f t="shared" si="27"/>
        <v>0</v>
      </c>
      <c r="X57" s="40">
        <f t="shared" si="27"/>
        <v>0</v>
      </c>
      <c r="Y57" s="40">
        <f t="shared" si="27"/>
        <v>0</v>
      </c>
      <c r="Z57" s="40">
        <f t="shared" si="27"/>
        <v>0</v>
      </c>
      <c r="AA57" s="40">
        <f t="shared" si="27"/>
        <v>0</v>
      </c>
      <c r="AB57" s="40">
        <f t="shared" si="27"/>
        <v>0</v>
      </c>
      <c r="AC57" s="40">
        <f t="shared" si="27"/>
        <v>0</v>
      </c>
      <c r="AD57" s="40">
        <f t="shared" si="27"/>
        <v>0</v>
      </c>
      <c r="AE57" s="40">
        <f t="shared" si="27"/>
        <v>0</v>
      </c>
      <c r="AF57" s="40">
        <f t="shared" si="27"/>
        <v>0</v>
      </c>
    </row>
    <row r="58" spans="1:32"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1:32" s="92" customFormat="1" ht="24" customHeight="1" hidden="1">
      <c r="A59" s="35" t="s">
        <v>232</v>
      </c>
      <c r="B59" s="72">
        <v>2500</v>
      </c>
      <c r="C59" s="72" t="s">
        <v>203</v>
      </c>
      <c r="D59" s="40">
        <f aca="true" t="shared" si="28" ref="D59:AF59">D60</f>
        <v>0</v>
      </c>
      <c r="E59" s="40">
        <f t="shared" si="28"/>
        <v>0</v>
      </c>
      <c r="F59" s="40">
        <f t="shared" si="28"/>
        <v>0</v>
      </c>
      <c r="G59" s="40">
        <f t="shared" si="28"/>
        <v>0</v>
      </c>
      <c r="H59" s="40">
        <f t="shared" si="28"/>
        <v>0</v>
      </c>
      <c r="I59" s="40">
        <f t="shared" si="28"/>
        <v>0</v>
      </c>
      <c r="J59" s="40">
        <f t="shared" si="28"/>
        <v>0</v>
      </c>
      <c r="K59" s="40">
        <f t="shared" si="28"/>
        <v>0</v>
      </c>
      <c r="L59" s="40">
        <f t="shared" si="28"/>
        <v>0</v>
      </c>
      <c r="M59" s="40">
        <f t="shared" si="28"/>
        <v>0</v>
      </c>
      <c r="N59" s="40">
        <f t="shared" si="28"/>
        <v>0</v>
      </c>
      <c r="O59" s="40">
        <f t="shared" si="28"/>
        <v>0</v>
      </c>
      <c r="P59" s="40">
        <f t="shared" si="28"/>
        <v>0</v>
      </c>
      <c r="Q59" s="40">
        <f t="shared" si="28"/>
        <v>0</v>
      </c>
      <c r="R59" s="40">
        <f t="shared" si="28"/>
        <v>0</v>
      </c>
      <c r="S59" s="40">
        <f t="shared" si="28"/>
        <v>0</v>
      </c>
      <c r="T59" s="40">
        <f t="shared" si="28"/>
        <v>0</v>
      </c>
      <c r="U59" s="40">
        <f t="shared" si="28"/>
        <v>0</v>
      </c>
      <c r="V59" s="40">
        <f t="shared" si="28"/>
        <v>0</v>
      </c>
      <c r="W59" s="40">
        <f t="shared" si="28"/>
        <v>0</v>
      </c>
      <c r="X59" s="40">
        <f t="shared" si="28"/>
        <v>0</v>
      </c>
      <c r="Y59" s="40">
        <f t="shared" si="28"/>
        <v>0</v>
      </c>
      <c r="Z59" s="40">
        <f t="shared" si="28"/>
        <v>0</v>
      </c>
      <c r="AA59" s="40">
        <f t="shared" si="28"/>
        <v>0</v>
      </c>
      <c r="AB59" s="40">
        <f t="shared" si="28"/>
        <v>0</v>
      </c>
      <c r="AC59" s="40">
        <f t="shared" si="28"/>
        <v>0</v>
      </c>
      <c r="AD59" s="40">
        <f t="shared" si="28"/>
        <v>0</v>
      </c>
      <c r="AE59" s="40">
        <f t="shared" si="28"/>
        <v>0</v>
      </c>
      <c r="AF59" s="40">
        <f t="shared" si="28"/>
        <v>0</v>
      </c>
    </row>
    <row r="60" spans="1:32"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s="92" customFormat="1" ht="29.25" customHeight="1">
      <c r="A61" s="28" t="s">
        <v>234</v>
      </c>
      <c r="B61" s="72">
        <v>2600</v>
      </c>
      <c r="C61" s="72" t="s">
        <v>203</v>
      </c>
      <c r="D61" s="40">
        <f aca="true" t="shared" si="29" ref="D61:AF61">D62+D63+D64+D65+D84</f>
        <v>3641003</v>
      </c>
      <c r="E61" s="40">
        <f t="shared" si="29"/>
        <v>2041200</v>
      </c>
      <c r="F61" s="40">
        <f t="shared" si="29"/>
        <v>300000</v>
      </c>
      <c r="G61" s="40">
        <f>G62+G63+G64+G65+G84</f>
        <v>0</v>
      </c>
      <c r="H61" s="40">
        <f t="shared" si="29"/>
        <v>0</v>
      </c>
      <c r="I61" s="40">
        <f t="shared" si="29"/>
        <v>0</v>
      </c>
      <c r="J61" s="40">
        <f aca="true" t="shared" si="30" ref="J61:P61">J62+J63+J64+J65+J84</f>
        <v>0</v>
      </c>
      <c r="K61" s="40">
        <f t="shared" si="30"/>
        <v>0</v>
      </c>
      <c r="L61" s="40">
        <f t="shared" si="30"/>
        <v>0</v>
      </c>
      <c r="M61" s="40">
        <f>M62+M63+M64+M65+M84</f>
        <v>5500</v>
      </c>
      <c r="N61" s="40">
        <f t="shared" si="30"/>
        <v>45100</v>
      </c>
      <c r="O61" s="40">
        <f t="shared" si="30"/>
        <v>0</v>
      </c>
      <c r="P61" s="40">
        <f t="shared" si="30"/>
        <v>9900</v>
      </c>
      <c r="Q61" s="40">
        <f t="shared" si="29"/>
        <v>0</v>
      </c>
      <c r="R61" s="40">
        <f>R62+R63+R64+R65+R84</f>
        <v>0</v>
      </c>
      <c r="S61" s="40">
        <f>S62+S63+S64+S65+S84</f>
        <v>0</v>
      </c>
      <c r="T61" s="40">
        <f t="shared" si="29"/>
        <v>0</v>
      </c>
      <c r="U61" s="40">
        <f t="shared" si="29"/>
        <v>0</v>
      </c>
      <c r="V61" s="40">
        <f t="shared" si="29"/>
        <v>999700</v>
      </c>
      <c r="W61" s="40">
        <f>W62+W63+W64+W65+W84</f>
        <v>161100</v>
      </c>
      <c r="X61" s="40">
        <f>X62+X63+X64+X65+X84</f>
        <v>78503</v>
      </c>
      <c r="Y61" s="40">
        <f t="shared" si="29"/>
        <v>0</v>
      </c>
      <c r="Z61" s="40">
        <f t="shared" si="29"/>
        <v>0</v>
      </c>
      <c r="AA61" s="40">
        <f t="shared" si="29"/>
        <v>0</v>
      </c>
      <c r="AB61" s="40">
        <f>AB62+AB63+AB64+AB65+AB84</f>
        <v>0</v>
      </c>
      <c r="AC61" s="40">
        <f>AC62+AC63+AC64+AC65+AC84</f>
        <v>0</v>
      </c>
      <c r="AD61" s="40">
        <f t="shared" si="29"/>
        <v>0</v>
      </c>
      <c r="AE61" s="40">
        <f t="shared" si="29"/>
        <v>0</v>
      </c>
      <c r="AF61" s="40">
        <f t="shared" si="29"/>
        <v>0</v>
      </c>
    </row>
    <row r="62" spans="1:32" ht="39.75" customHeight="1" hidden="1">
      <c r="A62" s="37" t="s">
        <v>235</v>
      </c>
      <c r="B62" s="72">
        <v>2610</v>
      </c>
      <c r="C62" s="72">
        <v>241</v>
      </c>
      <c r="D62" s="40">
        <f>SUM(E62:AF62)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2" ht="27.75" customHeight="1" hidden="1">
      <c r="A63" s="36" t="s">
        <v>236</v>
      </c>
      <c r="B63" s="72">
        <v>2620</v>
      </c>
      <c r="C63" s="72">
        <v>242</v>
      </c>
      <c r="D63" s="40">
        <f>SUM(E63:AF63)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2" ht="24.75" customHeight="1" hidden="1">
      <c r="A64" s="36" t="s">
        <v>238</v>
      </c>
      <c r="B64" s="72">
        <v>2630</v>
      </c>
      <c r="C64" s="72">
        <v>243</v>
      </c>
      <c r="D64" s="40">
        <f>SUM(E64:AF64)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row>
    <row r="65" spans="1:32" ht="30.75" customHeight="1">
      <c r="A65" s="36" t="s">
        <v>239</v>
      </c>
      <c r="B65" s="72">
        <v>2640</v>
      </c>
      <c r="C65" s="72">
        <v>244</v>
      </c>
      <c r="D65" s="40">
        <f aca="true" t="shared" si="31" ref="D65:AF65">D66+D67+D68+D74+D77+D78+D80+D81+D82</f>
        <v>3641003</v>
      </c>
      <c r="E65" s="40">
        <f t="shared" si="31"/>
        <v>2041200</v>
      </c>
      <c r="F65" s="40">
        <f t="shared" si="31"/>
        <v>300000</v>
      </c>
      <c r="G65" s="40">
        <f>G66+G67+G68+G74+G77+G78+G80+G81+G82</f>
        <v>0</v>
      </c>
      <c r="H65" s="40">
        <f t="shared" si="31"/>
        <v>0</v>
      </c>
      <c r="I65" s="40">
        <f t="shared" si="31"/>
        <v>0</v>
      </c>
      <c r="J65" s="40">
        <f aca="true" t="shared" si="32" ref="J65:P65">J66+J67+J68+J74+J77+J78+J80+J81+J82</f>
        <v>0</v>
      </c>
      <c r="K65" s="40">
        <f t="shared" si="32"/>
        <v>0</v>
      </c>
      <c r="L65" s="40">
        <f t="shared" si="32"/>
        <v>0</v>
      </c>
      <c r="M65" s="97">
        <f>M66+M67+M68+M74+M77+M78+M80+M81+M82</f>
        <v>5500</v>
      </c>
      <c r="N65" s="40">
        <f t="shared" si="32"/>
        <v>45100</v>
      </c>
      <c r="O65" s="97">
        <f t="shared" si="32"/>
        <v>0</v>
      </c>
      <c r="P65" s="40">
        <f t="shared" si="32"/>
        <v>9900</v>
      </c>
      <c r="Q65" s="40">
        <f t="shared" si="31"/>
        <v>0</v>
      </c>
      <c r="R65" s="40">
        <f>R66+R67+R68+R74+R77+R78+R80+R81+R82</f>
        <v>0</v>
      </c>
      <c r="S65" s="40">
        <f>S66+S67+S68+S74+S77+S78+S80+S81+S82</f>
        <v>0</v>
      </c>
      <c r="T65" s="40">
        <f t="shared" si="31"/>
        <v>0</v>
      </c>
      <c r="U65" s="40">
        <f t="shared" si="31"/>
        <v>0</v>
      </c>
      <c r="V65" s="40">
        <f t="shared" si="31"/>
        <v>999700</v>
      </c>
      <c r="W65" s="40">
        <f>W66+W67+W68+W74+W77+W78+W80+W81+W82</f>
        <v>161100</v>
      </c>
      <c r="X65" s="97">
        <f>X66+X67+X68+X74+X77+X78+X80+X81+X82</f>
        <v>78503</v>
      </c>
      <c r="Y65" s="40">
        <f t="shared" si="31"/>
        <v>0</v>
      </c>
      <c r="Z65" s="97">
        <f t="shared" si="31"/>
        <v>0</v>
      </c>
      <c r="AA65" s="40">
        <f t="shared" si="31"/>
        <v>0</v>
      </c>
      <c r="AB65" s="40">
        <f>AB66+AB67+AB68+AB74+AB77+AB78+AB80+AB81+AB82</f>
        <v>0</v>
      </c>
      <c r="AC65" s="97">
        <f>AC66+AC67+AC68+AC74+AC77+AC78+AC80+AC81+AC82</f>
        <v>0</v>
      </c>
      <c r="AD65" s="40">
        <f t="shared" si="31"/>
        <v>0</v>
      </c>
      <c r="AE65" s="40">
        <f t="shared" si="31"/>
        <v>0</v>
      </c>
      <c r="AF65" s="40">
        <f t="shared" si="31"/>
        <v>0</v>
      </c>
    </row>
    <row r="66" spans="1:32" ht="34.5" customHeight="1">
      <c r="A66" s="41" t="s">
        <v>237</v>
      </c>
      <c r="B66" s="72">
        <v>2641</v>
      </c>
      <c r="C66" s="72">
        <v>244</v>
      </c>
      <c r="D66" s="40">
        <f aca="true" t="shared" si="33" ref="D66:D84">SUM(E66:AF66)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row>
    <row r="67" spans="1:32" ht="20.25" customHeight="1" hidden="1">
      <c r="A67" s="41" t="s">
        <v>77</v>
      </c>
      <c r="B67" s="72">
        <v>2642</v>
      </c>
      <c r="C67" s="72">
        <v>244</v>
      </c>
      <c r="D67" s="40">
        <f t="shared" si="33"/>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spans="1:32" ht="22.5" customHeight="1">
      <c r="A68" s="41" t="s">
        <v>78</v>
      </c>
      <c r="B68" s="72">
        <v>2643</v>
      </c>
      <c r="C68" s="72">
        <v>244</v>
      </c>
      <c r="D68" s="40">
        <f t="shared" si="33"/>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row>
    <row r="69" spans="1:32" ht="21" customHeight="1" hidden="1">
      <c r="A69" s="35" t="s">
        <v>14</v>
      </c>
      <c r="B69" s="72"/>
      <c r="C69" s="72"/>
      <c r="D69" s="40">
        <f t="shared" si="33"/>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1:32" ht="28.5" customHeight="1" hidden="1">
      <c r="A70" s="33" t="s">
        <v>79</v>
      </c>
      <c r="B70" s="72"/>
      <c r="C70" s="72">
        <v>244</v>
      </c>
      <c r="D70" s="40">
        <f t="shared" si="33"/>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row>
    <row r="71" spans="1:32" ht="20.25" customHeight="1" hidden="1">
      <c r="A71" s="34" t="s">
        <v>80</v>
      </c>
      <c r="B71" s="72"/>
      <c r="C71" s="72">
        <v>244</v>
      </c>
      <c r="D71" s="40">
        <f t="shared" si="33"/>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row>
    <row r="72" spans="1:32" ht="28.5" customHeight="1" hidden="1">
      <c r="A72" s="34" t="s">
        <v>81</v>
      </c>
      <c r="B72" s="72"/>
      <c r="C72" s="72">
        <v>244</v>
      </c>
      <c r="D72" s="40">
        <f t="shared" si="33"/>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row>
    <row r="73" spans="1:32" ht="15.75" customHeight="1" hidden="1">
      <c r="A73" s="34" t="s">
        <v>82</v>
      </c>
      <c r="B73" s="72"/>
      <c r="C73" s="72">
        <v>244</v>
      </c>
      <c r="D73" s="40">
        <f t="shared" si="33"/>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row>
    <row r="74" spans="1:32" ht="24.75" customHeight="1" hidden="1">
      <c r="A74" s="41" t="s">
        <v>83</v>
      </c>
      <c r="B74" s="72">
        <v>2644</v>
      </c>
      <c r="C74" s="72">
        <v>244</v>
      </c>
      <c r="D74" s="40">
        <f t="shared" si="33"/>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row>
    <row r="75" spans="1:32" ht="33.75" customHeight="1" hidden="1">
      <c r="A75" s="43" t="s">
        <v>240</v>
      </c>
      <c r="B75" s="72"/>
      <c r="C75" s="72">
        <v>244</v>
      </c>
      <c r="D75" s="40">
        <f t="shared" si="33"/>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row r="76" spans="1:32" ht="19.5" customHeight="1" hidden="1">
      <c r="A76" s="43" t="s">
        <v>84</v>
      </c>
      <c r="B76" s="72"/>
      <c r="C76" s="72">
        <v>244</v>
      </c>
      <c r="D76" s="40">
        <f t="shared" si="33"/>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row>
    <row r="77" spans="1:32" ht="22.5" customHeight="1">
      <c r="A77" s="41" t="s">
        <v>85</v>
      </c>
      <c r="B77" s="72">
        <v>2645</v>
      </c>
      <c r="C77" s="72">
        <v>244</v>
      </c>
      <c r="D77" s="40">
        <f t="shared" si="33"/>
        <v>161100</v>
      </c>
      <c r="E77" s="40"/>
      <c r="F77" s="40"/>
      <c r="G77" s="40"/>
      <c r="H77" s="40"/>
      <c r="I77" s="40"/>
      <c r="J77" s="40"/>
      <c r="K77" s="40"/>
      <c r="L77" s="40"/>
      <c r="M77" s="40"/>
      <c r="N77" s="40"/>
      <c r="O77" s="40"/>
      <c r="P77" s="40"/>
      <c r="Q77" s="40"/>
      <c r="R77" s="40"/>
      <c r="S77" s="40"/>
      <c r="T77" s="40"/>
      <c r="U77" s="40"/>
      <c r="V77" s="40"/>
      <c r="W77" s="40">
        <v>161100</v>
      </c>
      <c r="X77" s="40"/>
      <c r="Y77" s="40"/>
      <c r="Z77" s="40"/>
      <c r="AA77" s="40"/>
      <c r="AB77" s="40"/>
      <c r="AC77" s="40"/>
      <c r="AD77" s="40"/>
      <c r="AE77" s="40"/>
      <c r="AF77" s="40"/>
    </row>
    <row r="78" spans="1:32" ht="23.25" customHeight="1">
      <c r="A78" s="41" t="s">
        <v>86</v>
      </c>
      <c r="B78" s="72">
        <v>2646</v>
      </c>
      <c r="C78" s="72">
        <v>244</v>
      </c>
      <c r="D78" s="40">
        <f t="shared" si="33"/>
        <v>2119703</v>
      </c>
      <c r="E78" s="52">
        <v>2041200</v>
      </c>
      <c r="F78" s="40"/>
      <c r="G78" s="40"/>
      <c r="H78" s="40"/>
      <c r="I78" s="40"/>
      <c r="J78" s="40"/>
      <c r="K78" s="40"/>
      <c r="L78" s="40"/>
      <c r="M78" s="97"/>
      <c r="N78" s="40"/>
      <c r="O78" s="97"/>
      <c r="P78" s="40"/>
      <c r="Q78" s="40"/>
      <c r="R78" s="40"/>
      <c r="S78" s="40"/>
      <c r="T78" s="40"/>
      <c r="U78" s="40"/>
      <c r="V78" s="40"/>
      <c r="W78" s="40"/>
      <c r="X78" s="97">
        <v>78503</v>
      </c>
      <c r="Y78" s="40"/>
      <c r="Z78" s="97"/>
      <c r="AA78" s="40"/>
      <c r="AB78" s="40"/>
      <c r="AC78" s="97"/>
      <c r="AD78" s="40"/>
      <c r="AE78" s="40"/>
      <c r="AF78" s="40"/>
    </row>
    <row r="79" spans="1:32" ht="18.75" customHeight="1" hidden="1">
      <c r="A79" s="42" t="s">
        <v>87</v>
      </c>
      <c r="B79" s="72"/>
      <c r="C79" s="72">
        <v>244</v>
      </c>
      <c r="D79" s="40">
        <f t="shared" si="33"/>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row>
    <row r="80" spans="1:32" ht="33" customHeight="1">
      <c r="A80" s="41" t="s">
        <v>88</v>
      </c>
      <c r="B80" s="72">
        <v>2647</v>
      </c>
      <c r="C80" s="72">
        <v>244</v>
      </c>
      <c r="D80" s="40">
        <f t="shared" si="33"/>
        <v>1354700</v>
      </c>
      <c r="E80" s="40"/>
      <c r="F80" s="40">
        <v>300000</v>
      </c>
      <c r="G80" s="40"/>
      <c r="H80" s="40"/>
      <c r="I80" s="40"/>
      <c r="J80" s="40"/>
      <c r="K80" s="40"/>
      <c r="L80" s="40"/>
      <c r="M80" s="40"/>
      <c r="N80" s="40">
        <v>45100</v>
      </c>
      <c r="O80" s="40"/>
      <c r="P80" s="40">
        <v>9900</v>
      </c>
      <c r="Q80" s="40"/>
      <c r="R80" s="40"/>
      <c r="S80" s="40"/>
      <c r="T80" s="40"/>
      <c r="U80" s="40"/>
      <c r="V80" s="40">
        <v>999700</v>
      </c>
      <c r="W80" s="40"/>
      <c r="X80" s="40"/>
      <c r="Y80" s="40"/>
      <c r="Z80" s="40"/>
      <c r="AA80" s="40"/>
      <c r="AB80" s="40"/>
      <c r="AC80" s="40"/>
      <c r="AD80" s="40"/>
      <c r="AE80" s="40"/>
      <c r="AF80" s="40"/>
    </row>
    <row r="81" spans="1:32" ht="24" customHeight="1">
      <c r="A81" s="41" t="s">
        <v>89</v>
      </c>
      <c r="B81" s="72">
        <v>2648</v>
      </c>
      <c r="C81" s="72">
        <v>244</v>
      </c>
      <c r="D81" s="40">
        <f t="shared" si="33"/>
        <v>5500</v>
      </c>
      <c r="E81" s="40"/>
      <c r="F81" s="40"/>
      <c r="G81" s="40"/>
      <c r="H81" s="40"/>
      <c r="I81" s="40"/>
      <c r="J81" s="40"/>
      <c r="K81" s="40"/>
      <c r="L81" s="40"/>
      <c r="M81" s="40">
        <v>5500</v>
      </c>
      <c r="N81" s="40"/>
      <c r="O81" s="40"/>
      <c r="P81" s="40"/>
      <c r="Q81" s="40"/>
      <c r="R81" s="40"/>
      <c r="S81" s="40"/>
      <c r="T81" s="40"/>
      <c r="U81" s="40"/>
      <c r="V81" s="40"/>
      <c r="W81" s="40"/>
      <c r="X81" s="40"/>
      <c r="Y81" s="40"/>
      <c r="Z81" s="40"/>
      <c r="AA81" s="40"/>
      <c r="AB81" s="40"/>
      <c r="AC81" s="40"/>
      <c r="AD81" s="40"/>
      <c r="AE81" s="40"/>
      <c r="AF81" s="40"/>
    </row>
    <row r="82" spans="1:32" ht="21" customHeight="1" hidden="1">
      <c r="A82" s="41" t="s">
        <v>90</v>
      </c>
      <c r="B82" s="72">
        <v>2649</v>
      </c>
      <c r="C82" s="72">
        <v>244</v>
      </c>
      <c r="D82" s="40">
        <f t="shared" si="33"/>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23.25" customHeight="1" hidden="1">
      <c r="A83" s="41" t="s">
        <v>91</v>
      </c>
      <c r="B83" s="72">
        <v>2650</v>
      </c>
      <c r="C83" s="72">
        <v>244</v>
      </c>
      <c r="D83" s="40">
        <f t="shared" si="33"/>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21" customHeight="1">
      <c r="A84" s="36" t="s">
        <v>241</v>
      </c>
      <c r="B84" s="72">
        <v>2650</v>
      </c>
      <c r="C84" s="72">
        <v>247</v>
      </c>
      <c r="D84" s="40">
        <f t="shared" si="33"/>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26.25" customHeight="1" hidden="1">
      <c r="A85" s="112" t="s">
        <v>242</v>
      </c>
      <c r="B85" s="72">
        <v>3000</v>
      </c>
      <c r="C85" s="72" t="s">
        <v>203</v>
      </c>
      <c r="D85" s="40">
        <f aca="true" t="shared" si="34" ref="D85:AF85">D86+D87+D88</f>
        <v>0</v>
      </c>
      <c r="E85" s="40">
        <f t="shared" si="34"/>
        <v>0</v>
      </c>
      <c r="F85" s="40">
        <f t="shared" si="34"/>
        <v>0</v>
      </c>
      <c r="G85" s="40">
        <f>G86+G87+G88</f>
        <v>0</v>
      </c>
      <c r="H85" s="40">
        <f t="shared" si="34"/>
        <v>0</v>
      </c>
      <c r="I85" s="40">
        <f aca="true" t="shared" si="35" ref="I85:P85">I86+I87+I88</f>
        <v>0</v>
      </c>
      <c r="J85" s="40">
        <f t="shared" si="35"/>
        <v>0</v>
      </c>
      <c r="K85" s="40">
        <f t="shared" si="35"/>
        <v>0</v>
      </c>
      <c r="L85" s="40">
        <f t="shared" si="35"/>
        <v>0</v>
      </c>
      <c r="M85" s="40">
        <f>M86+M87+M88</f>
        <v>0</v>
      </c>
      <c r="N85" s="40">
        <f>N86+N87+N88</f>
        <v>0</v>
      </c>
      <c r="O85" s="40">
        <f>O86+O87+O88</f>
        <v>0</v>
      </c>
      <c r="P85" s="40">
        <f t="shared" si="35"/>
        <v>0</v>
      </c>
      <c r="Q85" s="40">
        <f t="shared" si="34"/>
        <v>0</v>
      </c>
      <c r="R85" s="40">
        <f>R86+R87+R88</f>
        <v>0</v>
      </c>
      <c r="S85" s="40">
        <f>S86+S87+S88</f>
        <v>0</v>
      </c>
      <c r="T85" s="40">
        <f>T86+T87+T88</f>
        <v>0</v>
      </c>
      <c r="U85" s="40">
        <f t="shared" si="34"/>
        <v>0</v>
      </c>
      <c r="V85" s="40">
        <f t="shared" si="34"/>
        <v>0</v>
      </c>
      <c r="W85" s="40">
        <f>W86+W87+W88</f>
        <v>0</v>
      </c>
      <c r="X85" s="40">
        <f>X86+X87+X88</f>
        <v>0</v>
      </c>
      <c r="Y85" s="40">
        <f t="shared" si="34"/>
        <v>0</v>
      </c>
      <c r="Z85" s="40">
        <f t="shared" si="34"/>
        <v>0</v>
      </c>
      <c r="AA85" s="40">
        <f t="shared" si="34"/>
        <v>0</v>
      </c>
      <c r="AB85" s="40">
        <f t="shared" si="34"/>
        <v>0</v>
      </c>
      <c r="AC85" s="40">
        <f t="shared" si="34"/>
        <v>0</v>
      </c>
      <c r="AD85" s="40">
        <f t="shared" si="34"/>
        <v>0</v>
      </c>
      <c r="AE85" s="40">
        <f t="shared" si="34"/>
        <v>0</v>
      </c>
      <c r="AF85" s="40">
        <f t="shared" si="34"/>
        <v>0</v>
      </c>
    </row>
    <row r="86" spans="1:32"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row>
    <row r="89" spans="1:32" ht="20.25" customHeight="1">
      <c r="A89" s="65" t="s">
        <v>244</v>
      </c>
      <c r="B89" s="72">
        <v>4000</v>
      </c>
      <c r="C89" s="72" t="s">
        <v>203</v>
      </c>
      <c r="D89" s="40">
        <f aca="true" t="shared" si="36" ref="D89:AF89">D90</f>
        <v>1248.09</v>
      </c>
      <c r="E89" s="40">
        <f t="shared" si="36"/>
        <v>0</v>
      </c>
      <c r="F89" s="40">
        <f t="shared" si="36"/>
        <v>0</v>
      </c>
      <c r="G89" s="40">
        <f t="shared" si="36"/>
        <v>0</v>
      </c>
      <c r="H89" s="40">
        <f t="shared" si="36"/>
        <v>0</v>
      </c>
      <c r="I89" s="40">
        <f t="shared" si="36"/>
        <v>0</v>
      </c>
      <c r="J89" s="40">
        <f t="shared" si="36"/>
        <v>0</v>
      </c>
      <c r="K89" s="40">
        <f t="shared" si="36"/>
        <v>0</v>
      </c>
      <c r="L89" s="40">
        <f t="shared" si="36"/>
        <v>0</v>
      </c>
      <c r="M89" s="40">
        <f t="shared" si="36"/>
        <v>0</v>
      </c>
      <c r="N89" s="40">
        <f t="shared" si="36"/>
        <v>0</v>
      </c>
      <c r="O89" s="40">
        <f t="shared" si="36"/>
        <v>0</v>
      </c>
      <c r="P89" s="40">
        <f t="shared" si="36"/>
        <v>0</v>
      </c>
      <c r="Q89" s="40">
        <f t="shared" si="36"/>
        <v>0</v>
      </c>
      <c r="R89" s="40">
        <f t="shared" si="36"/>
        <v>0</v>
      </c>
      <c r="S89" s="40">
        <f t="shared" si="36"/>
        <v>0</v>
      </c>
      <c r="T89" s="40">
        <f t="shared" si="36"/>
        <v>0</v>
      </c>
      <c r="U89" s="40">
        <f t="shared" si="36"/>
        <v>0</v>
      </c>
      <c r="V89" s="40">
        <f t="shared" si="36"/>
        <v>0</v>
      </c>
      <c r="W89" s="40">
        <f t="shared" si="36"/>
        <v>0</v>
      </c>
      <c r="X89" s="40">
        <f t="shared" si="36"/>
        <v>0</v>
      </c>
      <c r="Y89" s="40">
        <f t="shared" si="36"/>
        <v>0</v>
      </c>
      <c r="Z89" s="40">
        <f t="shared" si="36"/>
        <v>0</v>
      </c>
      <c r="AA89" s="40">
        <f t="shared" si="36"/>
        <v>0</v>
      </c>
      <c r="AB89" s="40">
        <f t="shared" si="36"/>
        <v>0</v>
      </c>
      <c r="AC89" s="40">
        <f t="shared" si="36"/>
        <v>0</v>
      </c>
      <c r="AD89" s="40">
        <f t="shared" si="36"/>
        <v>0</v>
      </c>
      <c r="AE89" s="40">
        <f t="shared" si="36"/>
        <v>0</v>
      </c>
      <c r="AF89" s="40">
        <f t="shared" si="36"/>
        <v>0</v>
      </c>
    </row>
    <row r="90" spans="1:32" ht="25.5" customHeight="1">
      <c r="A90" s="28" t="s">
        <v>92</v>
      </c>
      <c r="B90" s="72">
        <v>4010</v>
      </c>
      <c r="C90" s="72">
        <v>610</v>
      </c>
      <c r="D90" s="40">
        <f aca="true" t="shared" si="37" ref="D90:P90">D6</f>
        <v>1248.09</v>
      </c>
      <c r="E90" s="40">
        <f t="shared" si="37"/>
        <v>0</v>
      </c>
      <c r="F90" s="40">
        <f t="shared" si="37"/>
        <v>0</v>
      </c>
      <c r="G90" s="40">
        <f>G6</f>
        <v>0</v>
      </c>
      <c r="H90" s="40">
        <f t="shared" si="37"/>
        <v>0</v>
      </c>
      <c r="I90" s="40">
        <f t="shared" si="37"/>
        <v>0</v>
      </c>
      <c r="J90" s="40">
        <f t="shared" si="37"/>
        <v>0</v>
      </c>
      <c r="K90" s="40">
        <f t="shared" si="37"/>
        <v>0</v>
      </c>
      <c r="L90" s="40">
        <f t="shared" si="37"/>
        <v>0</v>
      </c>
      <c r="M90" s="40">
        <f>M6</f>
        <v>0</v>
      </c>
      <c r="N90" s="40">
        <f>N6</f>
        <v>0</v>
      </c>
      <c r="O90" s="40">
        <f>O6</f>
        <v>0</v>
      </c>
      <c r="P90" s="40">
        <f t="shared" si="37"/>
        <v>0</v>
      </c>
      <c r="Q90" s="40">
        <f aca="true" t="shared" si="38" ref="Q90:AF90">Q6</f>
        <v>0</v>
      </c>
      <c r="R90" s="40">
        <f>R6</f>
        <v>0</v>
      </c>
      <c r="S90" s="40">
        <f>S6</f>
        <v>0</v>
      </c>
      <c r="T90" s="40">
        <f>T6</f>
        <v>0</v>
      </c>
      <c r="U90" s="40">
        <f t="shared" si="38"/>
        <v>0</v>
      </c>
      <c r="V90" s="40">
        <f t="shared" si="38"/>
        <v>0</v>
      </c>
      <c r="W90" s="40">
        <f>W6</f>
        <v>0</v>
      </c>
      <c r="X90" s="40">
        <f>X6</f>
        <v>0</v>
      </c>
      <c r="Y90" s="40">
        <f t="shared" si="38"/>
        <v>0</v>
      </c>
      <c r="Z90" s="40">
        <f t="shared" si="38"/>
        <v>0</v>
      </c>
      <c r="AA90" s="40">
        <f t="shared" si="38"/>
        <v>0</v>
      </c>
      <c r="AB90" s="40">
        <f t="shared" si="38"/>
        <v>0</v>
      </c>
      <c r="AC90" s="40">
        <f t="shared" si="38"/>
        <v>0</v>
      </c>
      <c r="AD90" s="40">
        <f t="shared" si="38"/>
        <v>0</v>
      </c>
      <c r="AE90" s="40">
        <f t="shared" si="38"/>
        <v>0</v>
      </c>
      <c r="AF90" s="40">
        <f t="shared" si="38"/>
        <v>0</v>
      </c>
    </row>
    <row r="91" spans="1:32"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 ht="15" customHeight="1">
      <c r="A92" s="312" t="s">
        <v>248</v>
      </c>
      <c r="B92" s="313"/>
      <c r="C92" s="313"/>
    </row>
    <row r="93" spans="1:3" ht="15">
      <c r="A93" s="312" t="s">
        <v>247</v>
      </c>
      <c r="B93" s="313"/>
      <c r="C93" s="313"/>
    </row>
    <row r="94" spans="1:3" ht="15">
      <c r="A94" s="312" t="s">
        <v>95</v>
      </c>
      <c r="B94" s="313"/>
      <c r="C94" s="313"/>
    </row>
    <row r="95" spans="1:3" ht="7.5" customHeight="1">
      <c r="A95" s="73"/>
      <c r="B95" s="113"/>
      <c r="C95" s="113"/>
    </row>
    <row r="96" spans="1:32"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row>
    <row r="97" spans="1:32"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row>
    <row r="99" spans="1:32"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row>
    <row r="100" spans="1:32" ht="18.75">
      <c r="A100" s="38" t="str">
        <f>'Заголовочная часть'!B16</f>
        <v>от "24"  мая    2024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sheetData>
  <sheetProtection/>
  <mergeCells count="15">
    <mergeCell ref="L4:L5"/>
    <mergeCell ref="A1:C1"/>
    <mergeCell ref="D3:D5"/>
    <mergeCell ref="U3:Z3"/>
    <mergeCell ref="AA3:AF3"/>
    <mergeCell ref="A93:C93"/>
    <mergeCell ref="H4:H5"/>
    <mergeCell ref="I3:J3"/>
    <mergeCell ref="M3:N3"/>
    <mergeCell ref="A94:C94"/>
    <mergeCell ref="A92:C92"/>
    <mergeCell ref="A3:A4"/>
    <mergeCell ref="B3:B4"/>
    <mergeCell ref="C3:C4"/>
    <mergeCell ref="G4:G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102">
      <selection activeCell="J81" sqref="J81"/>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59" t="s">
        <v>344</v>
      </c>
      <c r="N1" s="359"/>
      <c r="O1" s="359"/>
      <c r="P1" s="359"/>
    </row>
    <row r="2" spans="5:16" ht="18.75" hidden="1">
      <c r="E2" s="147"/>
      <c r="F2" s="147"/>
      <c r="G2" s="147"/>
      <c r="H2" s="147"/>
      <c r="L2" s="147"/>
      <c r="M2" s="147"/>
      <c r="N2" s="147"/>
      <c r="O2" s="147"/>
      <c r="P2" s="147"/>
    </row>
    <row r="3" spans="5:16" ht="67.5" customHeight="1" hidden="1">
      <c r="E3" s="147"/>
      <c r="F3" s="147"/>
      <c r="G3" s="147"/>
      <c r="H3" s="147"/>
      <c r="K3" s="147"/>
      <c r="L3" s="147"/>
      <c r="M3" s="359" t="s">
        <v>345</v>
      </c>
      <c r="N3" s="359"/>
      <c r="O3" s="359"/>
      <c r="P3" s="359"/>
    </row>
    <row r="4" spans="5:16" ht="13.5" customHeight="1">
      <c r="E4" s="147"/>
      <c r="F4" s="147"/>
      <c r="G4" s="147"/>
      <c r="H4" s="147"/>
      <c r="K4" s="147"/>
      <c r="L4" s="147"/>
      <c r="M4" s="147"/>
      <c r="N4" s="147"/>
      <c r="O4" s="147"/>
      <c r="P4" s="147"/>
    </row>
    <row r="5" spans="2:16" ht="18.75" customHeight="1">
      <c r="B5" s="360" t="s">
        <v>106</v>
      </c>
      <c r="C5" s="360"/>
      <c r="D5" s="360"/>
      <c r="E5" s="360"/>
      <c r="F5" s="360"/>
      <c r="G5" s="360"/>
      <c r="H5" s="360"/>
      <c r="I5" s="360"/>
      <c r="J5" s="360"/>
      <c r="K5" s="360"/>
      <c r="L5" s="360"/>
      <c r="M5" s="360"/>
      <c r="N5" s="360"/>
      <c r="O5" s="360"/>
      <c r="P5" s="360"/>
    </row>
    <row r="6" spans="2:16" ht="18.75">
      <c r="B6" s="360"/>
      <c r="C6" s="360"/>
      <c r="D6" s="360"/>
      <c r="E6" s="360"/>
      <c r="F6" s="360"/>
      <c r="G6" s="360"/>
      <c r="H6" s="360"/>
      <c r="I6" s="360"/>
      <c r="J6" s="360"/>
      <c r="K6" s="360"/>
      <c r="L6" s="360"/>
      <c r="M6" s="360"/>
      <c r="N6" s="360"/>
      <c r="O6" s="360"/>
      <c r="P6" s="360"/>
    </row>
    <row r="7" spans="2:16" ht="12.75" customHeight="1">
      <c r="B7" s="361" t="s">
        <v>346</v>
      </c>
      <c r="C7" s="361"/>
      <c r="D7" s="361"/>
      <c r="E7" s="361"/>
      <c r="F7" s="361"/>
      <c r="G7" s="361"/>
      <c r="H7" s="361"/>
      <c r="I7" s="361"/>
      <c r="J7" s="361"/>
      <c r="K7" s="361"/>
      <c r="L7" s="361"/>
      <c r="M7" s="361"/>
      <c r="N7" s="361"/>
      <c r="O7" s="361"/>
      <c r="P7" s="361"/>
    </row>
    <row r="8" spans="1:16" ht="21.75" customHeight="1">
      <c r="A8" s="362" t="s">
        <v>107</v>
      </c>
      <c r="B8" s="362" t="s">
        <v>107</v>
      </c>
      <c r="C8" s="362" t="s">
        <v>31</v>
      </c>
      <c r="D8" s="364" t="s">
        <v>108</v>
      </c>
      <c r="E8" s="362" t="s">
        <v>109</v>
      </c>
      <c r="F8" s="366" t="s">
        <v>110</v>
      </c>
      <c r="G8" s="366"/>
      <c r="H8" s="366"/>
      <c r="I8" s="366"/>
      <c r="J8" s="362" t="s">
        <v>347</v>
      </c>
      <c r="K8" s="367" t="s">
        <v>111</v>
      </c>
      <c r="L8" s="368"/>
      <c r="M8" s="368"/>
      <c r="N8" s="368"/>
      <c r="O8" s="368"/>
      <c r="P8" s="368"/>
    </row>
    <row r="9" spans="1:16" ht="57.75" customHeight="1">
      <c r="A9" s="363"/>
      <c r="B9" s="363"/>
      <c r="C9" s="363"/>
      <c r="D9" s="365"/>
      <c r="E9" s="363"/>
      <c r="F9" s="362" t="s">
        <v>348</v>
      </c>
      <c r="G9" s="367" t="s">
        <v>14</v>
      </c>
      <c r="H9" s="368"/>
      <c r="I9" s="369"/>
      <c r="J9" s="363"/>
      <c r="K9" s="370" t="s">
        <v>112</v>
      </c>
      <c r="L9" s="371"/>
      <c r="M9" s="372"/>
      <c r="N9" s="362" t="s">
        <v>113</v>
      </c>
      <c r="O9" s="367" t="s">
        <v>114</v>
      </c>
      <c r="P9" s="369"/>
    </row>
    <row r="10" spans="1:16" ht="47.25" customHeight="1">
      <c r="A10" s="363"/>
      <c r="B10" s="363"/>
      <c r="C10" s="363"/>
      <c r="D10" s="365"/>
      <c r="E10" s="363"/>
      <c r="F10" s="363"/>
      <c r="G10" s="148" t="s">
        <v>115</v>
      </c>
      <c r="H10" s="148" t="s">
        <v>116</v>
      </c>
      <c r="I10" s="148" t="s">
        <v>297</v>
      </c>
      <c r="J10" s="363"/>
      <c r="K10" s="149" t="s">
        <v>96</v>
      </c>
      <c r="L10" s="149" t="s">
        <v>349</v>
      </c>
      <c r="M10" s="149" t="s">
        <v>350</v>
      </c>
      <c r="N10" s="363"/>
      <c r="O10" s="148" t="s">
        <v>96</v>
      </c>
      <c r="P10" s="148" t="s">
        <v>351</v>
      </c>
    </row>
    <row r="11" spans="1:16" ht="18.75">
      <c r="A11" s="149">
        <v>1</v>
      </c>
      <c r="B11" s="149">
        <v>1</v>
      </c>
      <c r="C11" s="149">
        <v>2</v>
      </c>
      <c r="D11" s="72">
        <v>3</v>
      </c>
      <c r="E11" s="149">
        <v>4</v>
      </c>
      <c r="F11" s="149">
        <v>5</v>
      </c>
      <c r="G11" s="149">
        <v>6</v>
      </c>
      <c r="H11" s="149">
        <v>7</v>
      </c>
      <c r="I11" s="149">
        <v>8</v>
      </c>
      <c r="J11" s="149">
        <v>9</v>
      </c>
      <c r="K11" s="149">
        <v>10</v>
      </c>
      <c r="L11" s="149">
        <v>11</v>
      </c>
      <c r="M11" s="149">
        <v>12</v>
      </c>
      <c r="N11" s="149">
        <v>13</v>
      </c>
      <c r="O11" s="149">
        <v>14</v>
      </c>
      <c r="P11" s="149">
        <v>15</v>
      </c>
    </row>
    <row r="12" spans="1:16" ht="28.5" customHeight="1">
      <c r="A12" s="217">
        <v>111</v>
      </c>
      <c r="B12" s="217">
        <v>111</v>
      </c>
      <c r="C12" s="150" t="s">
        <v>58</v>
      </c>
      <c r="D12" s="153" t="s">
        <v>117</v>
      </c>
      <c r="E12" s="240">
        <f>3+1</f>
        <v>4</v>
      </c>
      <c r="F12" s="152">
        <f>G12+H12+I12</f>
        <v>95937.53</v>
      </c>
      <c r="G12" s="152">
        <f>69850+8500</f>
        <v>78350</v>
      </c>
      <c r="H12" s="152">
        <f>ROUND((2125)/E12,2)</f>
        <v>531.25</v>
      </c>
      <c r="I12" s="152">
        <f>(64960.12+3265)/E12</f>
        <v>17056.28</v>
      </c>
      <c r="J12" s="238">
        <f>E12*F12*12</f>
        <v>4605001.4399999995</v>
      </c>
      <c r="K12" s="153">
        <f>J12</f>
        <v>4605001.4399999995</v>
      </c>
      <c r="L12" s="153">
        <f>K12</f>
        <v>4605001.4399999995</v>
      </c>
      <c r="M12" s="153"/>
      <c r="N12" s="153"/>
      <c r="O12" s="153"/>
      <c r="P12" s="153"/>
    </row>
    <row r="13" spans="1:16" ht="18.75">
      <c r="A13" s="217">
        <v>111</v>
      </c>
      <c r="B13" s="217">
        <v>111</v>
      </c>
      <c r="C13" s="150" t="s">
        <v>262</v>
      </c>
      <c r="D13" s="153" t="s">
        <v>118</v>
      </c>
      <c r="E13" s="240">
        <f>27.27+2+17.5</f>
        <v>46.769999999999996</v>
      </c>
      <c r="F13" s="241">
        <f>G13+H13+I13</f>
        <v>260980.6479860951</v>
      </c>
      <c r="G13" s="152">
        <f>ROUND((344628.07+153904+17658+6129)/E13,2)</f>
        <v>11167.82</v>
      </c>
      <c r="H13" s="152">
        <f>ROUND((11177.27+4414.5+2207.25+38414)/E13,2)</f>
        <v>1201.9</v>
      </c>
      <c r="I13" s="241">
        <f>(253001.22-5413-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-225.55241964+16.03592046)+461.6563324+4665.383793</f>
        <v>248610.9279860951</v>
      </c>
      <c r="J13" s="238">
        <f>E13*F13*12</f>
        <v>146472778.87571603</v>
      </c>
      <c r="K13" s="153">
        <f>J13</f>
        <v>146472778.87571603</v>
      </c>
      <c r="L13" s="153">
        <f>K13-N13-O13</f>
        <v>143813878.87571603</v>
      </c>
      <c r="M13" s="153"/>
      <c r="N13" s="153">
        <f>2229000+259100</f>
        <v>2488100</v>
      </c>
      <c r="O13" s="153">
        <f>161800+9000</f>
        <v>170800</v>
      </c>
      <c r="P13" s="153"/>
    </row>
    <row r="14" spans="1:16" ht="18.75">
      <c r="A14" s="217">
        <v>111</v>
      </c>
      <c r="B14" s="217">
        <v>111</v>
      </c>
      <c r="C14" s="150" t="s">
        <v>352</v>
      </c>
      <c r="D14" s="153" t="s">
        <v>119</v>
      </c>
      <c r="E14" s="240">
        <f>3+12</f>
        <v>15</v>
      </c>
      <c r="F14" s="241">
        <f>G14+H14+I14</f>
        <v>9500.26</v>
      </c>
      <c r="G14" s="152">
        <f>ROUND((18300+68924.5+16266)/E14,2)</f>
        <v>6899.37</v>
      </c>
      <c r="H14" s="152">
        <f>ROUND((1308.72*2+4680)/E14,2)</f>
        <v>486.5</v>
      </c>
      <c r="I14" s="152">
        <f>ROUND((1308.72*2+84680+20000000)/F14,2)</f>
        <v>2114.39</v>
      </c>
      <c r="J14" s="238">
        <f>E14*F14*12-21.11</f>
        <v>1710025.6899999997</v>
      </c>
      <c r="K14" s="153">
        <f>J14</f>
        <v>1710025.6899999997</v>
      </c>
      <c r="L14" s="153">
        <v>1658025.69</v>
      </c>
      <c r="M14" s="153"/>
      <c r="N14" s="153"/>
      <c r="O14" s="153">
        <v>52000</v>
      </c>
      <c r="P14" s="153"/>
    </row>
    <row r="15" spans="1:16" ht="18.75">
      <c r="A15" s="217">
        <v>111</v>
      </c>
      <c r="B15" s="217">
        <v>111</v>
      </c>
      <c r="C15" s="150" t="s">
        <v>353</v>
      </c>
      <c r="D15" s="153" t="s">
        <v>120</v>
      </c>
      <c r="E15" s="240">
        <f>4+3+12</f>
        <v>19</v>
      </c>
      <c r="F15" s="241">
        <f>G15+H15+I15</f>
        <v>13410.97333333184</v>
      </c>
      <c r="G15" s="152">
        <f>ROUND((16266+21626+5544+60901)/E15,2)</f>
        <v>5491.42</v>
      </c>
      <c r="H15" s="152">
        <f>ROUND((1308.72*2+4680)/E15,2)</f>
        <v>384.08</v>
      </c>
      <c r="I15" s="241">
        <f>(24095.28+22834+8346+87212.33)/E15-0.5+36.625438595</f>
        <v>7535.473333331841</v>
      </c>
      <c r="J15" s="238">
        <f>E15*F15*12</f>
        <v>3057701.9199996595</v>
      </c>
      <c r="K15" s="153">
        <f>J15</f>
        <v>3057701.9199996595</v>
      </c>
      <c r="L15" s="154">
        <f>K15-M15-N15</f>
        <v>1026801.9199996595</v>
      </c>
      <c r="M15" s="154">
        <v>2030900</v>
      </c>
      <c r="N15" s="153"/>
      <c r="O15" s="153"/>
      <c r="P15" s="153"/>
    </row>
    <row r="16" spans="1:16" ht="18.75">
      <c r="A16" s="149" t="s">
        <v>16</v>
      </c>
      <c r="B16" s="149" t="s">
        <v>16</v>
      </c>
      <c r="C16" s="149" t="s">
        <v>16</v>
      </c>
      <c r="D16" s="151" t="s">
        <v>29</v>
      </c>
      <c r="E16" s="235" t="s">
        <v>16</v>
      </c>
      <c r="F16" s="235" t="s">
        <v>16</v>
      </c>
      <c r="G16" s="235" t="s">
        <v>16</v>
      </c>
      <c r="H16" s="236" t="s">
        <v>16</v>
      </c>
      <c r="I16" s="236" t="s">
        <v>16</v>
      </c>
      <c r="J16" s="239">
        <f>23984600+259100+2618400</f>
        <v>26862100</v>
      </c>
      <c r="K16" s="239">
        <v>23984600</v>
      </c>
      <c r="L16" s="239">
        <v>19501900</v>
      </c>
      <c r="M16" s="239">
        <v>2030900</v>
      </c>
      <c r="N16" s="239">
        <f>(SUM(N12:N15))</f>
        <v>2488100</v>
      </c>
      <c r="O16" s="239">
        <f>(SUM(O12:O15))</f>
        <v>222800</v>
      </c>
      <c r="P16" s="153"/>
    </row>
    <row r="17" spans="1:16" ht="13.5" customHeight="1">
      <c r="A17" s="156">
        <f>'Раздел 1'!D43-J16</f>
        <v>0</v>
      </c>
      <c r="B17" s="202"/>
      <c r="C17" s="201"/>
      <c r="D17" s="203"/>
      <c r="E17" s="201"/>
      <c r="F17" s="201"/>
      <c r="G17" s="201"/>
      <c r="H17" s="201"/>
      <c r="I17" s="201"/>
      <c r="J17" s="242">
        <f>'Раздел 1'!D43</f>
        <v>26862100</v>
      </c>
      <c r="K17" s="219"/>
      <c r="L17" s="218">
        <f>'Раздел 1'!T43</f>
        <v>19501900</v>
      </c>
      <c r="M17" s="218">
        <f>'Раздел 1'!L43</f>
        <v>2030900</v>
      </c>
      <c r="N17" s="167">
        <f>'Раздел 1'!AB43</f>
        <v>5106500</v>
      </c>
      <c r="O17" s="167">
        <f>'Раздел 1'!AJ43</f>
        <v>222800</v>
      </c>
      <c r="P17" s="201"/>
    </row>
    <row r="18" spans="2:16" ht="13.5" customHeight="1">
      <c r="B18" s="373" t="s">
        <v>354</v>
      </c>
      <c r="C18" s="373"/>
      <c r="D18" s="373"/>
      <c r="E18" s="373"/>
      <c r="F18" s="373"/>
      <c r="G18" s="373"/>
      <c r="H18" s="373"/>
      <c r="I18" s="373"/>
      <c r="J18" s="373"/>
      <c r="K18" s="373"/>
      <c r="L18" s="373"/>
      <c r="M18" s="373"/>
      <c r="N18" s="373"/>
      <c r="O18" s="373"/>
      <c r="P18" s="373"/>
    </row>
    <row r="19" spans="1:16" ht="13.5" customHeight="1">
      <c r="A19" s="158"/>
      <c r="B19" s="158"/>
      <c r="C19" s="157"/>
      <c r="E19" s="157"/>
      <c r="F19" s="157"/>
      <c r="G19" s="157"/>
      <c r="H19" s="157"/>
      <c r="I19" s="157"/>
      <c r="J19" s="157"/>
      <c r="K19" s="157"/>
      <c r="L19" s="157"/>
      <c r="M19" s="157"/>
      <c r="N19" s="157"/>
      <c r="O19" s="157"/>
      <c r="P19" s="157"/>
    </row>
    <row r="20" spans="2:16" ht="18.75" hidden="1">
      <c r="B20" s="374" t="s">
        <v>355</v>
      </c>
      <c r="C20" s="374"/>
      <c r="D20" s="374"/>
      <c r="E20" s="374"/>
      <c r="F20" s="374"/>
      <c r="G20" s="374"/>
      <c r="H20" s="374"/>
      <c r="I20" s="374"/>
      <c r="J20" s="374"/>
      <c r="K20" s="374"/>
      <c r="L20" s="374"/>
      <c r="M20" s="374"/>
      <c r="N20" s="374"/>
      <c r="O20" s="157"/>
      <c r="P20" s="157"/>
    </row>
    <row r="21" spans="1:16" ht="14.25" customHeight="1" hidden="1">
      <c r="A21" s="158"/>
      <c r="B21" s="158"/>
      <c r="C21" s="157"/>
      <c r="E21" s="157"/>
      <c r="F21" s="157"/>
      <c r="G21" s="157"/>
      <c r="H21" s="157"/>
      <c r="I21" s="157"/>
      <c r="J21" s="157"/>
      <c r="K21" s="157"/>
      <c r="L21" s="157"/>
      <c r="M21" s="157"/>
      <c r="N21" s="157"/>
      <c r="O21" s="157"/>
      <c r="P21" s="157"/>
    </row>
    <row r="22" spans="1:16" ht="15" customHeight="1" hidden="1">
      <c r="A22" s="366" t="s">
        <v>107</v>
      </c>
      <c r="B22" s="366" t="s">
        <v>107</v>
      </c>
      <c r="C22" s="366" t="s">
        <v>31</v>
      </c>
      <c r="D22" s="308" t="s">
        <v>30</v>
      </c>
      <c r="E22" s="366" t="s">
        <v>121</v>
      </c>
      <c r="F22" s="366" t="s">
        <v>122</v>
      </c>
      <c r="G22" s="366" t="s">
        <v>123</v>
      </c>
      <c r="H22" s="366" t="s">
        <v>483</v>
      </c>
      <c r="I22" s="366" t="s">
        <v>111</v>
      </c>
      <c r="J22" s="366"/>
      <c r="K22" s="366"/>
      <c r="L22" s="366"/>
      <c r="M22" s="366"/>
      <c r="N22" s="366"/>
      <c r="O22" s="157"/>
      <c r="P22" s="157"/>
    </row>
    <row r="23" spans="1:16" ht="25.5" customHeight="1" hidden="1">
      <c r="A23" s="366"/>
      <c r="B23" s="366"/>
      <c r="C23" s="366"/>
      <c r="D23" s="308"/>
      <c r="E23" s="366"/>
      <c r="F23" s="366"/>
      <c r="G23" s="366"/>
      <c r="H23" s="366"/>
      <c r="I23" s="370" t="s">
        <v>112</v>
      </c>
      <c r="J23" s="371"/>
      <c r="K23" s="372"/>
      <c r="L23" s="366" t="s">
        <v>113</v>
      </c>
      <c r="M23" s="370" t="s">
        <v>114</v>
      </c>
      <c r="N23" s="372"/>
      <c r="O23" s="157"/>
      <c r="P23" s="157"/>
    </row>
    <row r="24" spans="1:16" ht="38.25" customHeight="1" hidden="1">
      <c r="A24" s="366"/>
      <c r="B24" s="366"/>
      <c r="C24" s="366"/>
      <c r="D24" s="308"/>
      <c r="E24" s="366"/>
      <c r="F24" s="366"/>
      <c r="G24" s="366"/>
      <c r="H24" s="366"/>
      <c r="I24" s="362" t="s">
        <v>96</v>
      </c>
      <c r="J24" s="362" t="s">
        <v>349</v>
      </c>
      <c r="K24" s="362" t="s">
        <v>350</v>
      </c>
      <c r="L24" s="366"/>
      <c r="M24" s="375"/>
      <c r="N24" s="376"/>
      <c r="O24" s="157">
        <f>A17/E13/12</f>
        <v>0</v>
      </c>
      <c r="P24" s="157"/>
    </row>
    <row r="25" spans="1:16" ht="45" customHeight="1" hidden="1">
      <c r="A25" s="366"/>
      <c r="B25" s="366"/>
      <c r="C25" s="366"/>
      <c r="D25" s="308"/>
      <c r="E25" s="366"/>
      <c r="F25" s="366"/>
      <c r="G25" s="366"/>
      <c r="H25" s="366"/>
      <c r="I25" s="377"/>
      <c r="J25" s="377"/>
      <c r="K25" s="377"/>
      <c r="L25" s="366"/>
      <c r="M25" s="149" t="s">
        <v>96</v>
      </c>
      <c r="N25" s="149" t="s">
        <v>351</v>
      </c>
      <c r="O25" s="157"/>
      <c r="P25" s="157"/>
    </row>
    <row r="26" spans="1:16" ht="18.75" hidden="1">
      <c r="A26" s="149">
        <v>1</v>
      </c>
      <c r="B26" s="149">
        <v>1</v>
      </c>
      <c r="C26" s="149">
        <v>2</v>
      </c>
      <c r="D26" s="72">
        <v>3</v>
      </c>
      <c r="E26" s="149">
        <v>4</v>
      </c>
      <c r="F26" s="149">
        <v>5</v>
      </c>
      <c r="G26" s="149">
        <v>6</v>
      </c>
      <c r="H26" s="149">
        <v>7</v>
      </c>
      <c r="I26" s="149">
        <v>8</v>
      </c>
      <c r="J26" s="149">
        <v>9</v>
      </c>
      <c r="K26" s="149">
        <v>10</v>
      </c>
      <c r="L26" s="149">
        <v>11</v>
      </c>
      <c r="M26" s="149">
        <v>12</v>
      </c>
      <c r="N26" s="149">
        <v>13</v>
      </c>
      <c r="O26" s="157"/>
      <c r="P26" s="157"/>
    </row>
    <row r="27" spans="1:16" ht="57.75" customHeight="1" hidden="1">
      <c r="A27" s="153"/>
      <c r="B27" s="153"/>
      <c r="C27" s="150" t="s">
        <v>58</v>
      </c>
      <c r="D27" s="151" t="s">
        <v>356</v>
      </c>
      <c r="E27" s="149" t="s">
        <v>16</v>
      </c>
      <c r="F27" s="149" t="s">
        <v>16</v>
      </c>
      <c r="G27" s="149" t="s">
        <v>16</v>
      </c>
      <c r="H27" s="153"/>
      <c r="I27" s="149"/>
      <c r="J27" s="149"/>
      <c r="K27" s="149"/>
      <c r="L27" s="149"/>
      <c r="M27" s="149"/>
      <c r="N27" s="149"/>
      <c r="O27" s="157"/>
      <c r="P27" s="157"/>
    </row>
    <row r="28" spans="1:16" ht="56.25" customHeight="1" hidden="1">
      <c r="A28" s="153"/>
      <c r="B28" s="153"/>
      <c r="C28" s="159" t="s">
        <v>124</v>
      </c>
      <c r="D28" s="160" t="s">
        <v>357</v>
      </c>
      <c r="E28" s="153"/>
      <c r="F28" s="153"/>
      <c r="G28" s="153"/>
      <c r="H28" s="153"/>
      <c r="I28" s="149"/>
      <c r="J28" s="149"/>
      <c r="K28" s="149"/>
      <c r="L28" s="149"/>
      <c r="M28" s="149"/>
      <c r="N28" s="149"/>
      <c r="O28" s="157"/>
      <c r="P28" s="157"/>
    </row>
    <row r="29" spans="1:16" ht="33" customHeight="1" hidden="1">
      <c r="A29" s="153"/>
      <c r="B29" s="153"/>
      <c r="C29" s="159" t="s">
        <v>125</v>
      </c>
      <c r="D29" s="160" t="s">
        <v>358</v>
      </c>
      <c r="E29" s="153"/>
      <c r="F29" s="153"/>
      <c r="G29" s="153"/>
      <c r="H29" s="153"/>
      <c r="I29" s="149"/>
      <c r="J29" s="149"/>
      <c r="K29" s="149"/>
      <c r="L29" s="149"/>
      <c r="M29" s="149"/>
      <c r="N29" s="149"/>
      <c r="O29" s="157"/>
      <c r="P29" s="157"/>
    </row>
    <row r="30" spans="1:16" ht="33" customHeight="1" hidden="1">
      <c r="A30" s="153"/>
      <c r="B30" s="153"/>
      <c r="C30" s="159" t="s">
        <v>126</v>
      </c>
      <c r="D30" s="160" t="s">
        <v>359</v>
      </c>
      <c r="E30" s="153"/>
      <c r="F30" s="153"/>
      <c r="G30" s="153"/>
      <c r="H30" s="153"/>
      <c r="I30" s="149"/>
      <c r="J30" s="149"/>
      <c r="K30" s="149"/>
      <c r="L30" s="149"/>
      <c r="M30" s="149"/>
      <c r="N30" s="149"/>
      <c r="O30" s="157"/>
      <c r="P30" s="157"/>
    </row>
    <row r="31" spans="1:16" ht="18.75" customHeight="1" hidden="1">
      <c r="A31" s="153"/>
      <c r="B31" s="153"/>
      <c r="C31" s="159"/>
      <c r="D31" s="160"/>
      <c r="E31" s="153"/>
      <c r="F31" s="153"/>
      <c r="G31" s="153"/>
      <c r="H31" s="153"/>
      <c r="I31" s="149"/>
      <c r="J31" s="149"/>
      <c r="K31" s="149"/>
      <c r="L31" s="149"/>
      <c r="M31" s="149"/>
      <c r="N31" s="149"/>
      <c r="O31" s="157"/>
      <c r="P31" s="157"/>
    </row>
    <row r="32" spans="1:16" ht="18.75" hidden="1">
      <c r="A32" s="149" t="s">
        <v>16</v>
      </c>
      <c r="B32" s="149" t="s">
        <v>16</v>
      </c>
      <c r="C32" s="149" t="s">
        <v>16</v>
      </c>
      <c r="D32" s="151" t="s">
        <v>29</v>
      </c>
      <c r="E32" s="149" t="s">
        <v>16</v>
      </c>
      <c r="F32" s="149" t="s">
        <v>16</v>
      </c>
      <c r="G32" s="149" t="s">
        <v>16</v>
      </c>
      <c r="H32" s="153"/>
      <c r="I32" s="153"/>
      <c r="J32" s="153"/>
      <c r="K32" s="153"/>
      <c r="L32" s="153"/>
      <c r="M32" s="153"/>
      <c r="N32" s="153"/>
      <c r="O32" s="157"/>
      <c r="P32" s="157"/>
    </row>
    <row r="33" spans="1:16" ht="11.25" customHeight="1" hidden="1">
      <c r="A33" s="158"/>
      <c r="B33" s="158"/>
      <c r="C33" s="157"/>
      <c r="E33" s="157"/>
      <c r="F33" s="157"/>
      <c r="G33" s="157"/>
      <c r="H33" s="157"/>
      <c r="I33" s="157"/>
      <c r="J33" s="157"/>
      <c r="K33" s="157"/>
      <c r="L33" s="157"/>
      <c r="M33" s="157"/>
      <c r="N33" s="157"/>
      <c r="O33" s="157"/>
      <c r="P33" s="157"/>
    </row>
    <row r="34" spans="2:16" ht="15.75" customHeight="1" hidden="1">
      <c r="B34" s="374" t="s">
        <v>360</v>
      </c>
      <c r="C34" s="374"/>
      <c r="D34" s="374"/>
      <c r="E34" s="374"/>
      <c r="F34" s="374"/>
      <c r="G34" s="374"/>
      <c r="H34" s="374"/>
      <c r="I34" s="374"/>
      <c r="J34" s="374"/>
      <c r="K34" s="374"/>
      <c r="L34" s="374"/>
      <c r="M34" s="374"/>
      <c r="N34" s="374"/>
      <c r="O34" s="157"/>
      <c r="P34" s="157"/>
    </row>
    <row r="35" spans="1:16" ht="11.25" customHeight="1" hidden="1">
      <c r="A35" s="158"/>
      <c r="B35" s="158"/>
      <c r="C35" s="157"/>
      <c r="E35" s="157"/>
      <c r="F35" s="157"/>
      <c r="G35" s="157"/>
      <c r="H35" s="157"/>
      <c r="I35" s="157"/>
      <c r="J35" s="157"/>
      <c r="K35" s="157"/>
      <c r="L35" s="157"/>
      <c r="M35" s="157"/>
      <c r="N35" s="157"/>
      <c r="O35" s="157"/>
      <c r="P35" s="157"/>
    </row>
    <row r="36" spans="1:16" ht="19.5" customHeight="1" hidden="1">
      <c r="A36" s="366" t="s">
        <v>107</v>
      </c>
      <c r="B36" s="366" t="s">
        <v>107</v>
      </c>
      <c r="C36" s="366" t="s">
        <v>31</v>
      </c>
      <c r="D36" s="308" t="s">
        <v>30</v>
      </c>
      <c r="E36" s="366" t="s">
        <v>127</v>
      </c>
      <c r="F36" s="366" t="s">
        <v>128</v>
      </c>
      <c r="G36" s="366" t="s">
        <v>129</v>
      </c>
      <c r="H36" s="366" t="s">
        <v>484</v>
      </c>
      <c r="I36" s="366" t="s">
        <v>111</v>
      </c>
      <c r="J36" s="366"/>
      <c r="K36" s="366"/>
      <c r="L36" s="366"/>
      <c r="M36" s="366"/>
      <c r="N36" s="366"/>
      <c r="O36" s="157"/>
      <c r="P36" s="157"/>
    </row>
    <row r="37" spans="1:16" ht="25.5" customHeight="1" hidden="1">
      <c r="A37" s="366"/>
      <c r="B37" s="366"/>
      <c r="C37" s="366"/>
      <c r="D37" s="308"/>
      <c r="E37" s="366"/>
      <c r="F37" s="366"/>
      <c r="G37" s="366"/>
      <c r="H37" s="366"/>
      <c r="I37" s="366" t="s">
        <v>112</v>
      </c>
      <c r="J37" s="366"/>
      <c r="K37" s="366"/>
      <c r="L37" s="366" t="s">
        <v>113</v>
      </c>
      <c r="M37" s="366" t="s">
        <v>114</v>
      </c>
      <c r="N37" s="366"/>
      <c r="O37" s="157"/>
      <c r="P37" s="157"/>
    </row>
    <row r="38" spans="1:16" ht="18.75" customHeight="1" hidden="1">
      <c r="A38" s="366"/>
      <c r="B38" s="366"/>
      <c r="C38" s="366"/>
      <c r="D38" s="308"/>
      <c r="E38" s="366"/>
      <c r="F38" s="366"/>
      <c r="G38" s="366"/>
      <c r="H38" s="366"/>
      <c r="I38" s="366" t="s">
        <v>96</v>
      </c>
      <c r="J38" s="366" t="s">
        <v>349</v>
      </c>
      <c r="K38" s="366" t="s">
        <v>350</v>
      </c>
      <c r="L38" s="366"/>
      <c r="M38" s="366"/>
      <c r="N38" s="366"/>
      <c r="O38" s="157"/>
      <c r="P38" s="157"/>
    </row>
    <row r="39" spans="1:16" ht="27" customHeight="1" hidden="1">
      <c r="A39" s="366"/>
      <c r="B39" s="366"/>
      <c r="C39" s="366"/>
      <c r="D39" s="308"/>
      <c r="E39" s="366"/>
      <c r="F39" s="366"/>
      <c r="G39" s="366"/>
      <c r="H39" s="366"/>
      <c r="I39" s="366"/>
      <c r="J39" s="366"/>
      <c r="K39" s="366"/>
      <c r="L39" s="366"/>
      <c r="M39" s="366"/>
      <c r="N39" s="366"/>
      <c r="O39" s="157"/>
      <c r="P39" s="157"/>
    </row>
    <row r="40" spans="1:16" ht="32.25" customHeight="1" hidden="1">
      <c r="A40" s="366"/>
      <c r="B40" s="366"/>
      <c r="C40" s="366"/>
      <c r="D40" s="308"/>
      <c r="E40" s="366"/>
      <c r="F40" s="366"/>
      <c r="G40" s="366"/>
      <c r="H40" s="366"/>
      <c r="I40" s="366"/>
      <c r="J40" s="366"/>
      <c r="K40" s="366"/>
      <c r="L40" s="366"/>
      <c r="M40" s="149" t="s">
        <v>96</v>
      </c>
      <c r="N40" s="149" t="s">
        <v>351</v>
      </c>
      <c r="O40" s="157"/>
      <c r="P40" s="157"/>
    </row>
    <row r="41" spans="1:16" ht="15" customHeight="1" hidden="1">
      <c r="A41" s="149">
        <v>1</v>
      </c>
      <c r="B41" s="149">
        <v>1</v>
      </c>
      <c r="C41" s="149">
        <v>2</v>
      </c>
      <c r="D41" s="72">
        <v>3</v>
      </c>
      <c r="E41" s="149">
        <v>4</v>
      </c>
      <c r="F41" s="149">
        <v>5</v>
      </c>
      <c r="G41" s="149">
        <v>6</v>
      </c>
      <c r="H41" s="149">
        <v>7</v>
      </c>
      <c r="I41" s="149">
        <v>8</v>
      </c>
      <c r="J41" s="149">
        <v>9</v>
      </c>
      <c r="K41" s="149">
        <v>10</v>
      </c>
      <c r="L41" s="149">
        <v>11</v>
      </c>
      <c r="M41" s="149">
        <v>12</v>
      </c>
      <c r="N41" s="149">
        <v>13</v>
      </c>
      <c r="O41" s="157"/>
      <c r="P41" s="157"/>
    </row>
    <row r="42" spans="1:16" ht="15" customHeight="1" hidden="1">
      <c r="A42" s="149">
        <v>112</v>
      </c>
      <c r="B42" s="149">
        <v>112</v>
      </c>
      <c r="C42" s="150" t="s">
        <v>58</v>
      </c>
      <c r="D42" s="151" t="s">
        <v>130</v>
      </c>
      <c r="E42" s="153"/>
      <c r="F42" s="153"/>
      <c r="G42" s="153"/>
      <c r="H42" s="153"/>
      <c r="I42" s="153"/>
      <c r="J42" s="153"/>
      <c r="K42" s="153"/>
      <c r="L42" s="153"/>
      <c r="M42" s="153"/>
      <c r="N42" s="153"/>
      <c r="O42" s="157"/>
      <c r="P42" s="157"/>
    </row>
    <row r="43" spans="1:16" ht="18.75" hidden="1">
      <c r="A43" s="149" t="s">
        <v>16</v>
      </c>
      <c r="B43" s="149" t="s">
        <v>16</v>
      </c>
      <c r="C43" s="149" t="s">
        <v>16</v>
      </c>
      <c r="D43" s="151" t="s">
        <v>29</v>
      </c>
      <c r="E43" s="149" t="s">
        <v>16</v>
      </c>
      <c r="F43" s="149" t="s">
        <v>16</v>
      </c>
      <c r="G43" s="149" t="s">
        <v>16</v>
      </c>
      <c r="H43" s="153"/>
      <c r="I43" s="153"/>
      <c r="J43" s="153"/>
      <c r="K43" s="153"/>
      <c r="L43" s="153"/>
      <c r="M43" s="153"/>
      <c r="N43" s="153"/>
      <c r="O43" s="157"/>
      <c r="P43" s="157"/>
    </row>
    <row r="44" spans="1:16" ht="18.75" hidden="1">
      <c r="A44" s="156"/>
      <c r="B44" s="156"/>
      <c r="C44" s="157"/>
      <c r="E44" s="157"/>
      <c r="F44" s="157"/>
      <c r="G44" s="157"/>
      <c r="H44" s="161"/>
      <c r="I44" s="157"/>
      <c r="J44" s="157"/>
      <c r="K44" s="157"/>
      <c r="L44" s="157"/>
      <c r="M44" s="157"/>
      <c r="N44" s="157"/>
      <c r="O44" s="157"/>
      <c r="P44" s="157"/>
    </row>
    <row r="45" spans="1:16" ht="10.5" customHeight="1">
      <c r="A45" s="158"/>
      <c r="B45" s="158"/>
      <c r="C45" s="157"/>
      <c r="E45" s="157"/>
      <c r="F45" s="157"/>
      <c r="G45" s="157"/>
      <c r="H45" s="157"/>
      <c r="I45" s="157"/>
      <c r="J45" s="157"/>
      <c r="K45" s="157"/>
      <c r="L45" s="157"/>
      <c r="M45" s="157"/>
      <c r="N45" s="157"/>
      <c r="O45" s="157"/>
      <c r="P45" s="157"/>
    </row>
    <row r="46" spans="2:16" ht="21" customHeight="1">
      <c r="B46" s="360" t="s">
        <v>361</v>
      </c>
      <c r="C46" s="360"/>
      <c r="D46" s="360"/>
      <c r="E46" s="360"/>
      <c r="F46" s="360"/>
      <c r="G46" s="360"/>
      <c r="H46" s="360"/>
      <c r="I46" s="360"/>
      <c r="J46" s="360"/>
      <c r="K46" s="360"/>
      <c r="L46" s="360"/>
      <c r="M46" s="360"/>
      <c r="N46" s="360"/>
      <c r="O46" s="162"/>
      <c r="P46" s="162"/>
    </row>
    <row r="47" spans="1:16" ht="18.75">
      <c r="A47" s="158"/>
      <c r="B47" s="158"/>
      <c r="C47" s="157"/>
      <c r="E47" s="157"/>
      <c r="F47" s="157"/>
      <c r="G47" s="157"/>
      <c r="H47" s="157"/>
      <c r="I47" s="157"/>
      <c r="J47" s="157"/>
      <c r="K47" s="157"/>
      <c r="L47" s="157"/>
      <c r="M47" s="157"/>
      <c r="N47" s="157"/>
      <c r="O47" s="157"/>
      <c r="P47" s="157"/>
    </row>
    <row r="48" spans="1:16" ht="19.5" customHeight="1">
      <c r="A48" s="366" t="s">
        <v>107</v>
      </c>
      <c r="B48" s="366" t="s">
        <v>107</v>
      </c>
      <c r="C48" s="366" t="s">
        <v>31</v>
      </c>
      <c r="D48" s="308" t="s">
        <v>131</v>
      </c>
      <c r="E48" s="366" t="s">
        <v>132</v>
      </c>
      <c r="F48" s="366" t="s">
        <v>133</v>
      </c>
      <c r="G48" s="366" t="s">
        <v>134</v>
      </c>
      <c r="H48" s="366" t="s">
        <v>111</v>
      </c>
      <c r="I48" s="366"/>
      <c r="J48" s="366"/>
      <c r="K48" s="366"/>
      <c r="L48" s="366"/>
      <c r="M48" s="366"/>
      <c r="N48" s="366"/>
      <c r="O48" s="157"/>
      <c r="P48" s="157"/>
    </row>
    <row r="49" spans="1:16" ht="25.5" customHeight="1">
      <c r="A49" s="366"/>
      <c r="B49" s="366"/>
      <c r="C49" s="366"/>
      <c r="D49" s="308"/>
      <c r="E49" s="366"/>
      <c r="F49" s="366"/>
      <c r="G49" s="366"/>
      <c r="H49" s="366" t="s">
        <v>112</v>
      </c>
      <c r="I49" s="366"/>
      <c r="J49" s="366"/>
      <c r="K49" s="366" t="s">
        <v>113</v>
      </c>
      <c r="L49" s="366" t="s">
        <v>135</v>
      </c>
      <c r="M49" s="366" t="s">
        <v>114</v>
      </c>
      <c r="N49" s="366"/>
      <c r="O49" s="157"/>
      <c r="P49" s="157"/>
    </row>
    <row r="50" spans="1:16" ht="48.75" customHeight="1">
      <c r="A50" s="366"/>
      <c r="B50" s="366"/>
      <c r="C50" s="366"/>
      <c r="D50" s="308"/>
      <c r="E50" s="366"/>
      <c r="F50" s="366"/>
      <c r="G50" s="366"/>
      <c r="H50" s="366" t="s">
        <v>96</v>
      </c>
      <c r="I50" s="366" t="s">
        <v>349</v>
      </c>
      <c r="J50" s="366" t="s">
        <v>350</v>
      </c>
      <c r="K50" s="366"/>
      <c r="L50" s="366"/>
      <c r="M50" s="366"/>
      <c r="N50" s="366"/>
      <c r="O50" s="157"/>
      <c r="P50" s="157"/>
    </row>
    <row r="51" spans="1:16" ht="66" customHeight="1">
      <c r="A51" s="366"/>
      <c r="B51" s="366"/>
      <c r="C51" s="366"/>
      <c r="D51" s="308"/>
      <c r="E51" s="366"/>
      <c r="F51" s="366"/>
      <c r="G51" s="366"/>
      <c r="H51" s="366"/>
      <c r="I51" s="366"/>
      <c r="J51" s="366"/>
      <c r="K51" s="366"/>
      <c r="L51" s="366"/>
      <c r="M51" s="149" t="s">
        <v>96</v>
      </c>
      <c r="N51" s="149" t="s">
        <v>351</v>
      </c>
      <c r="O51" s="157"/>
      <c r="P51" s="157"/>
    </row>
    <row r="52" spans="1:16" ht="18.75">
      <c r="A52" s="149">
        <v>1</v>
      </c>
      <c r="B52" s="149">
        <v>1</v>
      </c>
      <c r="C52" s="149">
        <v>2</v>
      </c>
      <c r="D52" s="72">
        <v>3</v>
      </c>
      <c r="E52" s="149">
        <v>4</v>
      </c>
      <c r="F52" s="149">
        <v>5</v>
      </c>
      <c r="G52" s="149">
        <v>6</v>
      </c>
      <c r="H52" s="149">
        <v>7</v>
      </c>
      <c r="I52" s="149">
        <v>8</v>
      </c>
      <c r="J52" s="149">
        <v>9</v>
      </c>
      <c r="K52" s="149">
        <v>10</v>
      </c>
      <c r="L52" s="149">
        <v>11</v>
      </c>
      <c r="M52" s="149">
        <v>12</v>
      </c>
      <c r="N52" s="149">
        <v>13</v>
      </c>
      <c r="O52" s="157"/>
      <c r="P52" s="157"/>
    </row>
    <row r="53" spans="1:16" ht="32.25" customHeight="1">
      <c r="A53" s="149">
        <v>119</v>
      </c>
      <c r="B53" s="149">
        <v>119</v>
      </c>
      <c r="C53" s="149" t="s">
        <v>58</v>
      </c>
      <c r="D53" s="153" t="s">
        <v>362</v>
      </c>
      <c r="E53" s="149">
        <v>22</v>
      </c>
      <c r="F53" s="163">
        <f>'Раздел 1'!D43</f>
        <v>26862100</v>
      </c>
      <c r="G53" s="164">
        <f>'Раздел 1'!D46-G55-G56-G57</f>
        <v>4883359.1400000015</v>
      </c>
      <c r="H53" s="164">
        <f>G53</f>
        <v>4883359.1400000015</v>
      </c>
      <c r="I53" s="165">
        <f>'Раздел 1'!T46-I55-I56-I57</f>
        <v>4456015.940000001</v>
      </c>
      <c r="J53" s="165">
        <f>'Раздел 1'!L46-J55-J56-J57</f>
        <v>563000</v>
      </c>
      <c r="K53" s="149"/>
      <c r="L53" s="149"/>
      <c r="M53" s="149"/>
      <c r="N53" s="149"/>
      <c r="O53" s="157"/>
      <c r="P53" s="157"/>
    </row>
    <row r="54" spans="1:16" ht="44.25" customHeight="1">
      <c r="A54" s="149">
        <v>119</v>
      </c>
      <c r="B54" s="149">
        <v>119</v>
      </c>
      <c r="C54" s="149" t="s">
        <v>262</v>
      </c>
      <c r="D54" s="153" t="s">
        <v>363</v>
      </c>
      <c r="E54" s="149" t="s">
        <v>16</v>
      </c>
      <c r="F54" s="149" t="s">
        <v>16</v>
      </c>
      <c r="G54" s="166">
        <f>G55+G56</f>
        <v>832700</v>
      </c>
      <c r="H54" s="166">
        <f>G54</f>
        <v>832700</v>
      </c>
      <c r="I54" s="166">
        <f>I55+I56</f>
        <v>150500</v>
      </c>
      <c r="J54" s="166">
        <f>J55+J56</f>
        <v>19000</v>
      </c>
      <c r="K54" s="149"/>
      <c r="L54" s="149"/>
      <c r="M54" s="149"/>
      <c r="N54" s="149"/>
      <c r="O54" s="157"/>
      <c r="P54" s="157"/>
    </row>
    <row r="55" spans="1:16" ht="59.25" customHeight="1">
      <c r="A55" s="149">
        <v>119</v>
      </c>
      <c r="B55" s="149">
        <v>119</v>
      </c>
      <c r="C55" s="149" t="s">
        <v>136</v>
      </c>
      <c r="D55" s="159" t="s">
        <v>364</v>
      </c>
      <c r="E55" s="149">
        <v>2.9</v>
      </c>
      <c r="F55" s="164">
        <f>'Раздел 1'!D43</f>
        <v>26862100</v>
      </c>
      <c r="G55" s="152">
        <f>ROUND(F55*E55%,-2)</f>
        <v>779000</v>
      </c>
      <c r="H55" s="153">
        <f>G55</f>
        <v>779000</v>
      </c>
      <c r="I55" s="152">
        <f>ROUND(I59*E55%,-2)</f>
        <v>140800</v>
      </c>
      <c r="J55" s="152">
        <f>ROUND(J59*E55%,-2)</f>
        <v>17800</v>
      </c>
      <c r="K55" s="149"/>
      <c r="L55" s="149"/>
      <c r="M55" s="149"/>
      <c r="N55" s="149"/>
      <c r="O55" s="157"/>
      <c r="P55" s="157"/>
    </row>
    <row r="56" spans="1:16" ht="57.75" customHeight="1">
      <c r="A56" s="149">
        <v>119</v>
      </c>
      <c r="B56" s="149">
        <v>119</v>
      </c>
      <c r="C56" s="149" t="s">
        <v>141</v>
      </c>
      <c r="D56" s="159" t="s">
        <v>365</v>
      </c>
      <c r="E56" s="149">
        <v>0.2</v>
      </c>
      <c r="F56" s="164">
        <f>'Раздел 1'!D43</f>
        <v>26862100</v>
      </c>
      <c r="G56" s="152">
        <f>ROUND(F56*E56%,-2)</f>
        <v>53700</v>
      </c>
      <c r="H56" s="153">
        <f>G56</f>
        <v>53700</v>
      </c>
      <c r="I56" s="152">
        <f>ROUND(I59*E56%,-2)</f>
        <v>9700</v>
      </c>
      <c r="J56" s="152">
        <f>ROUND(J59*E56%,-2)</f>
        <v>1200</v>
      </c>
      <c r="K56" s="149"/>
      <c r="L56" s="149"/>
      <c r="M56" s="149"/>
      <c r="N56" s="149"/>
      <c r="O56" s="157"/>
      <c r="P56" s="157"/>
    </row>
    <row r="57" spans="1:16" ht="42.75" customHeight="1">
      <c r="A57" s="149">
        <v>119</v>
      </c>
      <c r="B57" s="149">
        <v>119</v>
      </c>
      <c r="C57" s="149" t="s">
        <v>352</v>
      </c>
      <c r="D57" s="153" t="s">
        <v>366</v>
      </c>
      <c r="E57" s="149">
        <v>5.1</v>
      </c>
      <c r="F57" s="164">
        <f>'Раздел 1'!D43</f>
        <v>26862100</v>
      </c>
      <c r="G57" s="152">
        <f>ROUND(F57*E57%,-2)</f>
        <v>1370000</v>
      </c>
      <c r="H57" s="153">
        <f>G57</f>
        <v>1370000</v>
      </c>
      <c r="I57" s="152">
        <f>ROUND(I59*E57%,-2)</f>
        <v>247600</v>
      </c>
      <c r="J57" s="152">
        <f>ROUND(J59*E57%,-2)</f>
        <v>31300</v>
      </c>
      <c r="K57" s="149"/>
      <c r="L57" s="149"/>
      <c r="M57" s="149"/>
      <c r="N57" s="149"/>
      <c r="O57" s="157"/>
      <c r="P57" s="157"/>
    </row>
    <row r="58" spans="1:16" ht="18.75">
      <c r="A58" s="149" t="s">
        <v>16</v>
      </c>
      <c r="B58" s="149" t="s">
        <v>16</v>
      </c>
      <c r="C58" s="149" t="s">
        <v>16</v>
      </c>
      <c r="D58" s="151" t="s">
        <v>29</v>
      </c>
      <c r="E58" s="149" t="s">
        <v>16</v>
      </c>
      <c r="F58" s="149" t="s">
        <v>16</v>
      </c>
      <c r="G58" s="155">
        <f>G53+G55+G56+G57</f>
        <v>7086059.1400000015</v>
      </c>
      <c r="H58" s="155">
        <f>H53+H55+H56+H57</f>
        <v>7086059.1400000015</v>
      </c>
      <c r="I58" s="155">
        <f>I53+I55+I56+I57</f>
        <v>4854115.940000001</v>
      </c>
      <c r="J58" s="155">
        <f>J53+J55+J56+J57</f>
        <v>613300</v>
      </c>
      <c r="K58" s="153"/>
      <c r="L58" s="153"/>
      <c r="M58" s="153"/>
      <c r="N58" s="153"/>
      <c r="O58" s="157"/>
      <c r="P58" s="157"/>
    </row>
    <row r="59" spans="1:16" ht="18.75">
      <c r="A59" s="156">
        <f>'Раздел 1'!D46-G58</f>
        <v>0</v>
      </c>
      <c r="B59" s="156"/>
      <c r="C59" s="157"/>
      <c r="E59" s="157"/>
      <c r="F59" s="157"/>
      <c r="G59" s="161"/>
      <c r="H59" s="157"/>
      <c r="I59" s="167">
        <f>'Раздел 1'!T46</f>
        <v>4854115.940000001</v>
      </c>
      <c r="J59" s="167">
        <f>'Раздел 1'!L46</f>
        <v>613300</v>
      </c>
      <c r="K59" s="157"/>
      <c r="L59" s="157"/>
      <c r="M59" s="157"/>
      <c r="N59" s="157"/>
      <c r="O59" s="157"/>
      <c r="P59" s="157"/>
    </row>
    <row r="60" spans="2:16" ht="48" customHeight="1">
      <c r="B60" s="378" t="s">
        <v>137</v>
      </c>
      <c r="C60" s="378"/>
      <c r="D60" s="378"/>
      <c r="E60" s="378"/>
      <c r="F60" s="378"/>
      <c r="G60" s="378"/>
      <c r="H60" s="378"/>
      <c r="I60" s="378"/>
      <c r="J60" s="378"/>
      <c r="K60" s="378"/>
      <c r="L60" s="378"/>
      <c r="M60" s="378"/>
      <c r="N60" s="378"/>
      <c r="O60" s="378"/>
      <c r="P60" s="378"/>
    </row>
    <row r="61" spans="1:16" ht="25.5" customHeight="1">
      <c r="A61" s="168"/>
      <c r="B61" s="168"/>
      <c r="C61" s="168"/>
      <c r="D61" s="169"/>
      <c r="E61" s="168"/>
      <c r="F61" s="168"/>
      <c r="G61" s="168"/>
      <c r="H61" s="168"/>
      <c r="I61" s="168"/>
      <c r="J61" s="168"/>
      <c r="K61" s="168"/>
      <c r="L61" s="168"/>
      <c r="M61" s="168"/>
      <c r="N61" s="168"/>
      <c r="O61" s="168"/>
      <c r="P61" s="168"/>
    </row>
    <row r="62" spans="2:16" ht="24" customHeight="1">
      <c r="B62" s="374" t="s">
        <v>138</v>
      </c>
      <c r="C62" s="374"/>
      <c r="D62" s="374"/>
      <c r="E62" s="374"/>
      <c r="F62" s="374"/>
      <c r="G62" s="374"/>
      <c r="H62" s="374"/>
      <c r="I62" s="374"/>
      <c r="J62" s="374"/>
      <c r="K62" s="374"/>
      <c r="L62" s="374"/>
      <c r="M62" s="374"/>
      <c r="N62" s="374"/>
      <c r="O62" s="157"/>
      <c r="P62" s="157"/>
    </row>
    <row r="63" spans="1:16" ht="18.75">
      <c r="A63" s="158"/>
      <c r="B63" s="158"/>
      <c r="C63" s="157"/>
      <c r="E63" s="157"/>
      <c r="F63" s="157"/>
      <c r="G63" s="157"/>
      <c r="H63" s="157"/>
      <c r="I63" s="157"/>
      <c r="J63" s="157"/>
      <c r="K63" s="157"/>
      <c r="L63" s="157"/>
      <c r="M63" s="157"/>
      <c r="N63" s="157"/>
      <c r="O63" s="157"/>
      <c r="P63" s="157"/>
    </row>
    <row r="64" spans="1:16" ht="20.25" customHeight="1">
      <c r="A64" s="366" t="s">
        <v>107</v>
      </c>
      <c r="B64" s="366" t="s">
        <v>107</v>
      </c>
      <c r="C64" s="366" t="s">
        <v>31</v>
      </c>
      <c r="D64" s="308" t="s">
        <v>8</v>
      </c>
      <c r="E64" s="366" t="s">
        <v>139</v>
      </c>
      <c r="F64" s="366" t="s">
        <v>140</v>
      </c>
      <c r="G64" s="366" t="s">
        <v>367</v>
      </c>
      <c r="H64" s="367" t="s">
        <v>111</v>
      </c>
      <c r="I64" s="368"/>
      <c r="J64" s="368"/>
      <c r="K64" s="368"/>
      <c r="L64" s="368"/>
      <c r="M64" s="368"/>
      <c r="N64" s="369"/>
      <c r="O64" s="157"/>
      <c r="P64" s="157"/>
    </row>
    <row r="65" spans="1:16" ht="48" customHeight="1">
      <c r="A65" s="366"/>
      <c r="B65" s="366"/>
      <c r="C65" s="366"/>
      <c r="D65" s="308"/>
      <c r="E65" s="366"/>
      <c r="F65" s="366"/>
      <c r="G65" s="366"/>
      <c r="H65" s="366" t="s">
        <v>112</v>
      </c>
      <c r="I65" s="366"/>
      <c r="J65" s="366"/>
      <c r="K65" s="366" t="s">
        <v>113</v>
      </c>
      <c r="L65" s="366" t="s">
        <v>135</v>
      </c>
      <c r="M65" s="366" t="s">
        <v>114</v>
      </c>
      <c r="N65" s="366"/>
      <c r="O65" s="157"/>
      <c r="P65" s="157"/>
    </row>
    <row r="66" spans="1:16" ht="39" customHeight="1">
      <c r="A66" s="366"/>
      <c r="B66" s="366"/>
      <c r="C66" s="366"/>
      <c r="D66" s="308"/>
      <c r="E66" s="366"/>
      <c r="F66" s="366"/>
      <c r="G66" s="366"/>
      <c r="H66" s="366" t="s">
        <v>96</v>
      </c>
      <c r="I66" s="366" t="s">
        <v>349</v>
      </c>
      <c r="J66" s="366" t="s">
        <v>350</v>
      </c>
      <c r="K66" s="366"/>
      <c r="L66" s="366"/>
      <c r="M66" s="366"/>
      <c r="N66" s="366"/>
      <c r="O66" s="157"/>
      <c r="P66" s="157"/>
    </row>
    <row r="67" spans="1:16" ht="49.5" customHeight="1">
      <c r="A67" s="366"/>
      <c r="B67" s="366"/>
      <c r="C67" s="366"/>
      <c r="D67" s="308"/>
      <c r="E67" s="366"/>
      <c r="F67" s="366"/>
      <c r="G67" s="366"/>
      <c r="H67" s="366"/>
      <c r="I67" s="366"/>
      <c r="J67" s="366"/>
      <c r="K67" s="366"/>
      <c r="L67" s="366"/>
      <c r="M67" s="149" t="s">
        <v>96</v>
      </c>
      <c r="N67" s="149" t="s">
        <v>351</v>
      </c>
      <c r="O67" s="157"/>
      <c r="P67" s="157"/>
    </row>
    <row r="68" spans="1:16" ht="18.75">
      <c r="A68" s="149">
        <v>1</v>
      </c>
      <c r="B68" s="149">
        <v>1</v>
      </c>
      <c r="C68" s="149">
        <v>2</v>
      </c>
      <c r="D68" s="72">
        <v>3</v>
      </c>
      <c r="E68" s="149">
        <v>4</v>
      </c>
      <c r="F68" s="149">
        <v>5</v>
      </c>
      <c r="G68" s="149">
        <v>6</v>
      </c>
      <c r="H68" s="149">
        <v>7</v>
      </c>
      <c r="I68" s="149">
        <v>8</v>
      </c>
      <c r="J68" s="149">
        <v>9</v>
      </c>
      <c r="K68" s="149">
        <v>10</v>
      </c>
      <c r="L68" s="149">
        <v>11</v>
      </c>
      <c r="M68" s="149">
        <v>12</v>
      </c>
      <c r="N68" s="149">
        <v>13</v>
      </c>
      <c r="O68" s="157"/>
      <c r="P68" s="157"/>
    </row>
    <row r="69" spans="1:16" ht="47.25" customHeight="1">
      <c r="A69" s="149"/>
      <c r="B69" s="149"/>
      <c r="C69" s="149" t="s">
        <v>58</v>
      </c>
      <c r="D69" s="153" t="s">
        <v>368</v>
      </c>
      <c r="E69" s="149" t="s">
        <v>203</v>
      </c>
      <c r="F69" s="149" t="s">
        <v>203</v>
      </c>
      <c r="G69" s="166">
        <f>G70</f>
        <v>401600</v>
      </c>
      <c r="H69" s="170"/>
      <c r="I69" s="170"/>
      <c r="J69" s="170"/>
      <c r="K69" s="170">
        <f>K70</f>
        <v>401600</v>
      </c>
      <c r="L69" s="165"/>
      <c r="M69" s="165"/>
      <c r="N69" s="165"/>
      <c r="O69" s="157"/>
      <c r="P69" s="157"/>
    </row>
    <row r="70" spans="1:16" ht="56.25" customHeight="1">
      <c r="A70" s="149"/>
      <c r="B70" s="149"/>
      <c r="C70" s="149" t="s">
        <v>124</v>
      </c>
      <c r="D70" s="159" t="s">
        <v>369</v>
      </c>
      <c r="E70" s="149" t="s">
        <v>203</v>
      </c>
      <c r="F70" s="149" t="s">
        <v>203</v>
      </c>
      <c r="G70" s="166">
        <f>G71</f>
        <v>401600</v>
      </c>
      <c r="H70" s="170"/>
      <c r="I70" s="170"/>
      <c r="J70" s="170"/>
      <c r="K70" s="170">
        <f>K71</f>
        <v>401600</v>
      </c>
      <c r="L70" s="165"/>
      <c r="M70" s="165"/>
      <c r="N70" s="165"/>
      <c r="O70" s="157"/>
      <c r="P70" s="157"/>
    </row>
    <row r="71" spans="1:16" ht="16.5" customHeight="1">
      <c r="A71" s="149">
        <v>112</v>
      </c>
      <c r="B71" s="149">
        <v>112</v>
      </c>
      <c r="C71" s="200" t="s">
        <v>146</v>
      </c>
      <c r="D71" s="199"/>
      <c r="E71" s="166">
        <f>G71/F71</f>
        <v>100400</v>
      </c>
      <c r="F71" s="149">
        <v>4</v>
      </c>
      <c r="G71" s="170">
        <f>'Раздел 1'!D44</f>
        <v>401600</v>
      </c>
      <c r="H71" s="170"/>
      <c r="I71" s="170"/>
      <c r="J71" s="170"/>
      <c r="K71" s="170">
        <f>G71</f>
        <v>401600</v>
      </c>
      <c r="L71" s="165"/>
      <c r="M71" s="165"/>
      <c r="N71" s="165"/>
      <c r="O71" s="157"/>
      <c r="P71" s="157"/>
    </row>
    <row r="72" spans="1:14" s="157" customFormat="1" ht="16.5" customHeight="1" hidden="1">
      <c r="A72" s="231">
        <v>321</v>
      </c>
      <c r="B72" s="231">
        <v>321</v>
      </c>
      <c r="C72" s="231"/>
      <c r="D72" s="232" t="s">
        <v>521</v>
      </c>
      <c r="E72" s="231"/>
      <c r="F72" s="231"/>
      <c r="G72" s="231"/>
      <c r="H72" s="233"/>
      <c r="I72" s="233"/>
      <c r="J72" s="233"/>
      <c r="K72" s="233">
        <f>G72</f>
        <v>0</v>
      </c>
      <c r="L72" s="233"/>
      <c r="M72" s="233"/>
      <c r="N72" s="233"/>
    </row>
    <row r="73" spans="1:16" ht="18.75" hidden="1">
      <c r="A73" s="149"/>
      <c r="B73" s="149"/>
      <c r="C73" s="149" t="s">
        <v>262</v>
      </c>
      <c r="D73" s="153" t="s">
        <v>370</v>
      </c>
      <c r="E73" s="149" t="s">
        <v>203</v>
      </c>
      <c r="F73" s="149" t="s">
        <v>203</v>
      </c>
      <c r="G73" s="149"/>
      <c r="H73" s="165"/>
      <c r="I73" s="165"/>
      <c r="J73" s="165"/>
      <c r="K73" s="165"/>
      <c r="L73" s="165"/>
      <c r="M73" s="165"/>
      <c r="N73" s="165"/>
      <c r="O73" s="157"/>
      <c r="P73" s="157"/>
    </row>
    <row r="74" spans="1:16" ht="15" customHeight="1" hidden="1">
      <c r="A74" s="149"/>
      <c r="B74" s="149"/>
      <c r="C74" s="149" t="s">
        <v>136</v>
      </c>
      <c r="D74" s="159" t="s">
        <v>371</v>
      </c>
      <c r="E74" s="149"/>
      <c r="F74" s="149"/>
      <c r="G74" s="149"/>
      <c r="H74" s="165"/>
      <c r="I74" s="165"/>
      <c r="J74" s="165"/>
      <c r="K74" s="165"/>
      <c r="L74" s="165"/>
      <c r="M74" s="165"/>
      <c r="N74" s="165"/>
      <c r="O74" s="157"/>
      <c r="P74" s="157"/>
    </row>
    <row r="75" spans="1:16" ht="15" customHeight="1" hidden="1">
      <c r="A75" s="149"/>
      <c r="B75" s="149"/>
      <c r="C75" s="149" t="s">
        <v>141</v>
      </c>
      <c r="D75" s="159" t="s">
        <v>372</v>
      </c>
      <c r="E75" s="149"/>
      <c r="F75" s="149"/>
      <c r="G75" s="149"/>
      <c r="H75" s="165"/>
      <c r="I75" s="165"/>
      <c r="J75" s="165"/>
      <c r="K75" s="165"/>
      <c r="L75" s="165"/>
      <c r="M75" s="165"/>
      <c r="N75" s="165"/>
      <c r="O75" s="157"/>
      <c r="P75" s="157"/>
    </row>
    <row r="76" spans="1:16" ht="15" customHeight="1" hidden="1">
      <c r="A76" s="149"/>
      <c r="B76" s="149"/>
      <c r="C76" s="149"/>
      <c r="D76" s="159"/>
      <c r="E76" s="149"/>
      <c r="F76" s="149"/>
      <c r="G76" s="149"/>
      <c r="H76" s="165"/>
      <c r="I76" s="165"/>
      <c r="J76" s="165"/>
      <c r="K76" s="165"/>
      <c r="L76" s="165"/>
      <c r="M76" s="165"/>
      <c r="N76" s="165"/>
      <c r="O76" s="157"/>
      <c r="P76" s="157"/>
    </row>
    <row r="77" spans="1:16" ht="29.25" customHeight="1" hidden="1">
      <c r="A77" s="149"/>
      <c r="B77" s="149"/>
      <c r="C77" s="149" t="s">
        <v>352</v>
      </c>
      <c r="D77" s="153" t="s">
        <v>373</v>
      </c>
      <c r="E77" s="149" t="s">
        <v>203</v>
      </c>
      <c r="F77" s="149" t="s">
        <v>203</v>
      </c>
      <c r="G77" s="165">
        <f>G79</f>
        <v>0</v>
      </c>
      <c r="H77" s="165"/>
      <c r="I77" s="165"/>
      <c r="J77" s="165"/>
      <c r="K77" s="165">
        <f>K79</f>
        <v>0</v>
      </c>
      <c r="L77" s="165"/>
      <c r="M77" s="165"/>
      <c r="N77" s="165"/>
      <c r="O77" s="157"/>
      <c r="P77" s="157"/>
    </row>
    <row r="78" spans="1:14" s="157" customFormat="1" ht="16.5" customHeight="1" hidden="1">
      <c r="A78" s="231">
        <v>323</v>
      </c>
      <c r="B78" s="231">
        <v>323</v>
      </c>
      <c r="C78" s="256"/>
      <c r="D78" s="232" t="str">
        <f>'[1]Раздел 1'!A55</f>
        <v>иные налоги (включаемые в состав расходов) в бюджеты бюджетной системы Российской Федерации, а также государственная пошлина</v>
      </c>
      <c r="E78" s="257"/>
      <c r="F78" s="231"/>
      <c r="G78" s="258">
        <f>K78</f>
        <v>0</v>
      </c>
      <c r="H78" s="258"/>
      <c r="I78" s="258"/>
      <c r="J78" s="258"/>
      <c r="K78" s="258"/>
      <c r="L78" s="233"/>
      <c r="M78" s="233"/>
      <c r="N78" s="233"/>
    </row>
    <row r="79" spans="1:16" ht="17.25" customHeight="1" hidden="1">
      <c r="A79" s="149"/>
      <c r="B79" s="149"/>
      <c r="C79" s="159"/>
      <c r="D79" s="160" t="str">
        <f>'Раздел 1'!A50</f>
        <v>приобретение товаров, работ и услуг в пользу граждан в целях их социального обеспечения</v>
      </c>
      <c r="E79" s="149"/>
      <c r="F79" s="149"/>
      <c r="G79" s="165">
        <f>K79</f>
        <v>0</v>
      </c>
      <c r="H79" s="165"/>
      <c r="I79" s="165"/>
      <c r="J79" s="165"/>
      <c r="K79" s="165">
        <f>'Раздел 1'!D50</f>
        <v>0</v>
      </c>
      <c r="L79" s="165"/>
      <c r="M79" s="165"/>
      <c r="N79" s="165"/>
      <c r="O79" s="157"/>
      <c r="P79" s="157"/>
    </row>
    <row r="80" spans="1:16" ht="16.5" customHeight="1">
      <c r="A80" s="272">
        <v>112</v>
      </c>
      <c r="B80" s="272">
        <v>112</v>
      </c>
      <c r="C80" s="200" t="s">
        <v>146</v>
      </c>
      <c r="D80" s="199"/>
      <c r="E80" s="166">
        <f>G80/F80</f>
        <v>12717.84</v>
      </c>
      <c r="F80" s="272">
        <v>4</v>
      </c>
      <c r="G80" s="170">
        <f>H80</f>
        <v>50871.36</v>
      </c>
      <c r="H80" s="170">
        <f>I80+J80</f>
        <v>50871.36</v>
      </c>
      <c r="I80" s="170">
        <v>24912.53</v>
      </c>
      <c r="J80" s="170">
        <f>22092.27+3866.56</f>
        <v>25958.83</v>
      </c>
      <c r="K80" s="170"/>
      <c r="L80" s="165"/>
      <c r="M80" s="165"/>
      <c r="N80" s="165"/>
      <c r="O80" s="157"/>
      <c r="P80" s="157"/>
    </row>
    <row r="81" spans="1:16" ht="17.25" customHeight="1">
      <c r="A81" s="149" t="s">
        <v>203</v>
      </c>
      <c r="B81" s="149" t="s">
        <v>203</v>
      </c>
      <c r="C81" s="149" t="s">
        <v>203</v>
      </c>
      <c r="D81" s="151" t="s">
        <v>29</v>
      </c>
      <c r="E81" s="149" t="s">
        <v>16</v>
      </c>
      <c r="F81" s="149" t="s">
        <v>16</v>
      </c>
      <c r="G81" s="165">
        <f>G69+G73+G77+G72+G80</f>
        <v>452471.36</v>
      </c>
      <c r="H81" s="165">
        <f>H80</f>
        <v>50871.36</v>
      </c>
      <c r="I81" s="165">
        <f>I80</f>
        <v>24912.53</v>
      </c>
      <c r="J81" s="165">
        <f>J80</f>
        <v>25958.83</v>
      </c>
      <c r="K81" s="165">
        <f>K69+K73+K77+K72</f>
        <v>401600</v>
      </c>
      <c r="L81" s="165"/>
      <c r="M81" s="165"/>
      <c r="N81" s="165"/>
      <c r="O81" s="157"/>
      <c r="P81" s="157"/>
    </row>
    <row r="82" spans="1:16" s="25" customFormat="1" ht="18.75">
      <c r="A82" s="172">
        <f>'Раздел 1'!D44+'Раздел 1'!D49-G81+'Раздел 1'!D50</f>
        <v>0</v>
      </c>
      <c r="B82" s="172"/>
      <c r="C82" s="73"/>
      <c r="D82" s="173"/>
      <c r="E82" s="174"/>
      <c r="F82" s="174"/>
      <c r="G82" s="172"/>
      <c r="H82" s="73"/>
      <c r="I82" s="73"/>
      <c r="J82" s="73"/>
      <c r="K82" s="73"/>
      <c r="L82" s="73"/>
      <c r="M82" s="73"/>
      <c r="N82" s="73"/>
      <c r="O82" s="175"/>
      <c r="P82" s="175"/>
    </row>
    <row r="83" spans="2:16" s="25" customFormat="1" ht="18.75">
      <c r="B83" s="379" t="s">
        <v>143</v>
      </c>
      <c r="C83" s="379"/>
      <c r="D83" s="379"/>
      <c r="E83" s="379"/>
      <c r="F83" s="379"/>
      <c r="G83" s="379"/>
      <c r="H83" s="379"/>
      <c r="I83" s="379"/>
      <c r="J83" s="379"/>
      <c r="K83" s="379"/>
      <c r="L83" s="379"/>
      <c r="M83" s="379"/>
      <c r="N83" s="379"/>
      <c r="O83" s="175"/>
      <c r="P83" s="175"/>
    </row>
    <row r="84" spans="1:16" ht="18.75" hidden="1">
      <c r="A84" s="176"/>
      <c r="B84" s="176"/>
      <c r="C84" s="157"/>
      <c r="E84" s="157"/>
      <c r="F84" s="157"/>
      <c r="G84" s="157"/>
      <c r="H84" s="157"/>
      <c r="I84" s="157"/>
      <c r="J84" s="157"/>
      <c r="K84" s="157"/>
      <c r="L84" s="157"/>
      <c r="M84" s="157"/>
      <c r="N84" s="157"/>
      <c r="O84" s="157"/>
      <c r="P84" s="157"/>
    </row>
    <row r="85" spans="2:16" ht="18.75">
      <c r="B85" s="374" t="s">
        <v>374</v>
      </c>
      <c r="C85" s="374"/>
      <c r="D85" s="374"/>
      <c r="E85" s="374"/>
      <c r="F85" s="374"/>
      <c r="G85" s="374"/>
      <c r="H85" s="374"/>
      <c r="I85" s="374"/>
      <c r="J85" s="374"/>
      <c r="K85" s="374"/>
      <c r="L85" s="374"/>
      <c r="M85" s="374"/>
      <c r="N85" s="374"/>
      <c r="O85" s="157"/>
      <c r="P85" s="157"/>
    </row>
    <row r="86" spans="1:16" ht="18.75" hidden="1">
      <c r="A86" s="158"/>
      <c r="B86" s="158"/>
      <c r="C86" s="157"/>
      <c r="E86" s="157"/>
      <c r="F86" s="157"/>
      <c r="G86" s="157"/>
      <c r="H86" s="157"/>
      <c r="I86" s="157"/>
      <c r="J86" s="157"/>
      <c r="K86" s="157"/>
      <c r="L86" s="157"/>
      <c r="M86" s="157"/>
      <c r="N86" s="157"/>
      <c r="O86" s="157"/>
      <c r="P86" s="157"/>
    </row>
    <row r="87" spans="1:16" ht="27.75" customHeight="1">
      <c r="A87" s="366" t="s">
        <v>107</v>
      </c>
      <c r="B87" s="366" t="s">
        <v>107</v>
      </c>
      <c r="C87" s="366" t="s">
        <v>31</v>
      </c>
      <c r="D87" s="308" t="s">
        <v>30</v>
      </c>
      <c r="E87" s="366" t="s">
        <v>144</v>
      </c>
      <c r="F87" s="366" t="s">
        <v>145</v>
      </c>
      <c r="G87" s="366" t="s">
        <v>485</v>
      </c>
      <c r="H87" s="366" t="s">
        <v>111</v>
      </c>
      <c r="I87" s="366"/>
      <c r="J87" s="366"/>
      <c r="K87" s="366"/>
      <c r="L87" s="366"/>
      <c r="M87" s="366"/>
      <c r="N87" s="366"/>
      <c r="O87" s="157"/>
      <c r="P87" s="157"/>
    </row>
    <row r="88" spans="1:16" ht="32.25" customHeight="1">
      <c r="A88" s="366"/>
      <c r="B88" s="366"/>
      <c r="C88" s="366"/>
      <c r="D88" s="308"/>
      <c r="E88" s="366"/>
      <c r="F88" s="366"/>
      <c r="G88" s="366"/>
      <c r="H88" s="366" t="s">
        <v>112</v>
      </c>
      <c r="I88" s="366"/>
      <c r="J88" s="366"/>
      <c r="K88" s="366" t="s">
        <v>113</v>
      </c>
      <c r="L88" s="366" t="s">
        <v>135</v>
      </c>
      <c r="M88" s="366" t="s">
        <v>114</v>
      </c>
      <c r="N88" s="366"/>
      <c r="O88" s="157"/>
      <c r="P88" s="157"/>
    </row>
    <row r="89" spans="1:16" ht="27.75" customHeight="1">
      <c r="A89" s="366"/>
      <c r="B89" s="366"/>
      <c r="C89" s="366"/>
      <c r="D89" s="308"/>
      <c r="E89" s="366"/>
      <c r="F89" s="366"/>
      <c r="G89" s="366"/>
      <c r="H89" s="366" t="s">
        <v>96</v>
      </c>
      <c r="I89" s="366" t="s">
        <v>349</v>
      </c>
      <c r="J89" s="366" t="s">
        <v>350</v>
      </c>
      <c r="K89" s="366"/>
      <c r="L89" s="366"/>
      <c r="M89" s="366"/>
      <c r="N89" s="366"/>
      <c r="O89" s="157"/>
      <c r="P89" s="157"/>
    </row>
    <row r="90" spans="1:16" ht="89.25" customHeight="1">
      <c r="A90" s="366"/>
      <c r="B90" s="366"/>
      <c r="C90" s="366"/>
      <c r="D90" s="308"/>
      <c r="E90" s="366"/>
      <c r="F90" s="366"/>
      <c r="G90" s="366"/>
      <c r="H90" s="366"/>
      <c r="I90" s="366"/>
      <c r="J90" s="366"/>
      <c r="K90" s="366"/>
      <c r="L90" s="366"/>
      <c r="M90" s="149" t="s">
        <v>96</v>
      </c>
      <c r="N90" s="149" t="s">
        <v>351</v>
      </c>
      <c r="O90" s="157"/>
      <c r="P90" s="157"/>
    </row>
    <row r="91" spans="1:16" ht="18.75">
      <c r="A91" s="149">
        <v>1</v>
      </c>
      <c r="B91" s="149">
        <v>1</v>
      </c>
      <c r="C91" s="149">
        <v>2</v>
      </c>
      <c r="D91" s="72">
        <v>3</v>
      </c>
      <c r="E91" s="149">
        <v>4</v>
      </c>
      <c r="F91" s="149">
        <v>5</v>
      </c>
      <c r="G91" s="149">
        <v>6</v>
      </c>
      <c r="H91" s="149">
        <v>7</v>
      </c>
      <c r="I91" s="149">
        <v>8</v>
      </c>
      <c r="J91" s="149">
        <v>9</v>
      </c>
      <c r="K91" s="149">
        <v>10</v>
      </c>
      <c r="L91" s="149">
        <v>11</v>
      </c>
      <c r="M91" s="149">
        <v>12</v>
      </c>
      <c r="N91" s="149">
        <v>13</v>
      </c>
      <c r="O91" s="157"/>
      <c r="P91" s="157"/>
    </row>
    <row r="92" spans="1:16" ht="31.5">
      <c r="A92" s="153"/>
      <c r="B92" s="153"/>
      <c r="C92" s="150" t="s">
        <v>58</v>
      </c>
      <c r="D92" s="151" t="s">
        <v>375</v>
      </c>
      <c r="E92" s="149" t="s">
        <v>16</v>
      </c>
      <c r="F92" s="149" t="s">
        <v>16</v>
      </c>
      <c r="G92" s="149"/>
      <c r="H92" s="149"/>
      <c r="I92" s="149"/>
      <c r="J92" s="149"/>
      <c r="K92" s="149"/>
      <c r="L92" s="149"/>
      <c r="M92" s="149"/>
      <c r="N92" s="149"/>
      <c r="O92" s="157"/>
      <c r="P92" s="157"/>
    </row>
    <row r="93" spans="1:16" ht="31.5">
      <c r="A93" s="149">
        <v>851</v>
      </c>
      <c r="B93" s="149">
        <v>851</v>
      </c>
      <c r="C93" s="159" t="s">
        <v>124</v>
      </c>
      <c r="D93" s="160" t="s">
        <v>376</v>
      </c>
      <c r="E93" s="149" t="s">
        <v>203</v>
      </c>
      <c r="F93" s="149" t="s">
        <v>203</v>
      </c>
      <c r="G93" s="149"/>
      <c r="H93" s="149"/>
      <c r="I93" s="149"/>
      <c r="J93" s="149"/>
      <c r="K93" s="149"/>
      <c r="L93" s="149"/>
      <c r="M93" s="149"/>
      <c r="N93" s="149"/>
      <c r="O93" s="157"/>
      <c r="P93" s="157"/>
    </row>
    <row r="94" spans="1:16" ht="18.75">
      <c r="A94" s="149"/>
      <c r="B94" s="149"/>
      <c r="C94" s="171" t="s">
        <v>146</v>
      </c>
      <c r="D94" s="35" t="s">
        <v>147</v>
      </c>
      <c r="E94" s="149"/>
      <c r="F94" s="149">
        <v>2.2</v>
      </c>
      <c r="G94" s="149">
        <f>3148752-756652-200+95300</f>
        <v>2487200</v>
      </c>
      <c r="H94" s="149">
        <f>J94</f>
        <v>2487200</v>
      </c>
      <c r="I94" s="149"/>
      <c r="J94" s="149">
        <f>G94</f>
        <v>2487200</v>
      </c>
      <c r="K94" s="149"/>
      <c r="L94" s="149"/>
      <c r="M94" s="149"/>
      <c r="N94" s="149"/>
      <c r="O94" s="157"/>
      <c r="P94" s="157"/>
    </row>
    <row r="95" spans="1:16" ht="18.75" customHeight="1">
      <c r="A95" s="149"/>
      <c r="B95" s="149"/>
      <c r="C95" s="153"/>
      <c r="D95" s="35"/>
      <c r="E95" s="149"/>
      <c r="F95" s="149"/>
      <c r="G95" s="149"/>
      <c r="H95" s="149"/>
      <c r="I95" s="149"/>
      <c r="J95" s="149"/>
      <c r="K95" s="149"/>
      <c r="L95" s="149"/>
      <c r="M95" s="149"/>
      <c r="N95" s="149"/>
      <c r="O95" s="157"/>
      <c r="P95" s="157"/>
    </row>
    <row r="96" spans="1:16" ht="31.5">
      <c r="A96" s="149"/>
      <c r="B96" s="149"/>
      <c r="C96" s="159" t="s">
        <v>125</v>
      </c>
      <c r="D96" s="160" t="s">
        <v>377</v>
      </c>
      <c r="E96" s="149" t="s">
        <v>203</v>
      </c>
      <c r="F96" s="149" t="s">
        <v>203</v>
      </c>
      <c r="G96" s="149"/>
      <c r="H96" s="149"/>
      <c r="I96" s="149"/>
      <c r="J96" s="149"/>
      <c r="K96" s="149"/>
      <c r="L96" s="149"/>
      <c r="M96" s="149"/>
      <c r="N96" s="149"/>
      <c r="O96" s="157"/>
      <c r="P96" s="157"/>
    </row>
    <row r="97" spans="1:16" ht="18.75">
      <c r="A97" s="149"/>
      <c r="B97" s="149"/>
      <c r="C97" s="171" t="s">
        <v>148</v>
      </c>
      <c r="D97" s="35" t="s">
        <v>147</v>
      </c>
      <c r="E97" s="149"/>
      <c r="F97" s="149"/>
      <c r="G97" s="149"/>
      <c r="H97" s="149"/>
      <c r="I97" s="149"/>
      <c r="J97" s="149"/>
      <c r="K97" s="149"/>
      <c r="L97" s="149"/>
      <c r="M97" s="149"/>
      <c r="N97" s="149"/>
      <c r="O97" s="157"/>
      <c r="P97" s="157"/>
    </row>
    <row r="98" spans="1:16" ht="18.75" customHeight="1">
      <c r="A98" s="149"/>
      <c r="B98" s="149"/>
      <c r="C98" s="149"/>
      <c r="D98" s="35"/>
      <c r="E98" s="149"/>
      <c r="F98" s="149"/>
      <c r="G98" s="149"/>
      <c r="H98" s="149"/>
      <c r="I98" s="149"/>
      <c r="J98" s="149"/>
      <c r="K98" s="149"/>
      <c r="L98" s="149"/>
      <c r="M98" s="149"/>
      <c r="N98" s="149"/>
      <c r="O98" s="157"/>
      <c r="P98" s="157"/>
    </row>
    <row r="99" spans="1:16" ht="18.75">
      <c r="A99" s="149"/>
      <c r="B99" s="149"/>
      <c r="C99" s="150" t="s">
        <v>262</v>
      </c>
      <c r="D99" s="151" t="s">
        <v>378</v>
      </c>
      <c r="E99" s="149" t="s">
        <v>203</v>
      </c>
      <c r="F99" s="149" t="s">
        <v>203</v>
      </c>
      <c r="G99" s="166">
        <f>G100</f>
        <v>0</v>
      </c>
      <c r="H99" s="166"/>
      <c r="I99" s="166"/>
      <c r="J99" s="166"/>
      <c r="K99" s="149"/>
      <c r="L99" s="149"/>
      <c r="M99" s="149"/>
      <c r="N99" s="149"/>
      <c r="O99" s="157"/>
      <c r="P99" s="157"/>
    </row>
    <row r="100" spans="1:16" ht="18.75">
      <c r="A100" s="149">
        <v>851</v>
      </c>
      <c r="B100" s="149">
        <v>851</v>
      </c>
      <c r="C100" s="159" t="s">
        <v>136</v>
      </c>
      <c r="D100" s="160" t="s">
        <v>379</v>
      </c>
      <c r="E100" s="149">
        <f>G100/F100</f>
        <v>0</v>
      </c>
      <c r="F100" s="177">
        <v>0.001</v>
      </c>
      <c r="G100" s="166"/>
      <c r="H100" s="166"/>
      <c r="I100" s="166"/>
      <c r="J100" s="166"/>
      <c r="K100" s="149"/>
      <c r="L100" s="149"/>
      <c r="M100" s="149"/>
      <c r="N100" s="149"/>
      <c r="O100" s="157"/>
      <c r="P100" s="157"/>
    </row>
    <row r="101" spans="1:16" ht="18.75">
      <c r="A101" s="153"/>
      <c r="B101" s="153"/>
      <c r="C101" s="171" t="s">
        <v>380</v>
      </c>
      <c r="D101" s="35"/>
      <c r="E101" s="149"/>
      <c r="F101" s="149"/>
      <c r="G101" s="166"/>
      <c r="H101" s="166"/>
      <c r="I101" s="166"/>
      <c r="J101" s="166"/>
      <c r="K101" s="149"/>
      <c r="L101" s="149"/>
      <c r="M101" s="149"/>
      <c r="N101" s="149"/>
      <c r="O101" s="157"/>
      <c r="P101" s="157"/>
    </row>
    <row r="102" spans="1:16" ht="18.75">
      <c r="A102" s="153"/>
      <c r="B102" s="153"/>
      <c r="C102" s="149"/>
      <c r="D102" s="35"/>
      <c r="E102" s="149"/>
      <c r="F102" s="149"/>
      <c r="G102" s="166"/>
      <c r="H102" s="166"/>
      <c r="I102" s="166"/>
      <c r="J102" s="166"/>
      <c r="K102" s="149"/>
      <c r="L102" s="149"/>
      <c r="M102" s="149"/>
      <c r="N102" s="149"/>
      <c r="O102" s="157"/>
      <c r="P102" s="157"/>
    </row>
    <row r="103" spans="1:16" ht="18.75">
      <c r="A103" s="149" t="s">
        <v>16</v>
      </c>
      <c r="B103" s="149" t="s">
        <v>16</v>
      </c>
      <c r="C103" s="149" t="s">
        <v>16</v>
      </c>
      <c r="D103" s="151" t="s">
        <v>29</v>
      </c>
      <c r="E103" s="149" t="s">
        <v>16</v>
      </c>
      <c r="F103" s="149" t="s">
        <v>16</v>
      </c>
      <c r="G103" s="166">
        <f>G94</f>
        <v>2487200</v>
      </c>
      <c r="H103" s="166">
        <f>H94</f>
        <v>2487200</v>
      </c>
      <c r="I103" s="166"/>
      <c r="J103" s="166">
        <f>J94</f>
        <v>2487200</v>
      </c>
      <c r="K103" s="149"/>
      <c r="L103" s="149"/>
      <c r="M103" s="149"/>
      <c r="N103" s="149"/>
      <c r="O103" s="157"/>
      <c r="P103" s="157"/>
    </row>
    <row r="104" spans="1:16" s="25" customFormat="1" ht="18.75">
      <c r="A104" s="172">
        <f>'Раздел 1'!D53-G94-G100</f>
        <v>0</v>
      </c>
      <c r="B104" s="172"/>
      <c r="C104" s="73"/>
      <c r="D104" s="173"/>
      <c r="E104" s="174"/>
      <c r="F104" s="174"/>
      <c r="G104" s="73"/>
      <c r="H104" s="73"/>
      <c r="I104" s="73"/>
      <c r="J104" s="174"/>
      <c r="K104" s="73"/>
      <c r="L104" s="73"/>
      <c r="M104" s="73"/>
      <c r="N104" s="73"/>
      <c r="O104" s="175"/>
      <c r="P104" s="175"/>
    </row>
    <row r="105" spans="2:16" s="25" customFormat="1" ht="18.75">
      <c r="B105" s="379" t="s">
        <v>149</v>
      </c>
      <c r="C105" s="379"/>
      <c r="D105" s="379"/>
      <c r="E105" s="379"/>
      <c r="F105" s="379"/>
      <c r="G105" s="379"/>
      <c r="H105" s="379"/>
      <c r="I105" s="379"/>
      <c r="J105" s="379"/>
      <c r="K105" s="379"/>
      <c r="L105" s="379"/>
      <c r="M105" s="379"/>
      <c r="N105" s="379"/>
      <c r="O105" s="175"/>
      <c r="P105" s="175"/>
    </row>
    <row r="106" spans="1:16" ht="18.75">
      <c r="A106" s="158"/>
      <c r="B106" s="158"/>
      <c r="C106" s="157"/>
      <c r="E106" s="157"/>
      <c r="F106" s="157"/>
      <c r="G106" s="157"/>
      <c r="H106" s="157"/>
      <c r="I106" s="157"/>
      <c r="J106" s="157"/>
      <c r="K106" s="157"/>
      <c r="L106" s="157"/>
      <c r="M106" s="157"/>
      <c r="N106" s="157"/>
      <c r="O106" s="157"/>
      <c r="P106" s="157"/>
    </row>
    <row r="107" spans="1:16" ht="33.75" customHeight="1" hidden="1">
      <c r="A107" s="366" t="s">
        <v>107</v>
      </c>
      <c r="B107" s="366" t="s">
        <v>107</v>
      </c>
      <c r="C107" s="366" t="s">
        <v>31</v>
      </c>
      <c r="D107" s="308" t="s">
        <v>30</v>
      </c>
      <c r="E107" s="366" t="s">
        <v>144</v>
      </c>
      <c r="F107" s="366" t="s">
        <v>145</v>
      </c>
      <c r="G107" s="366" t="s">
        <v>486</v>
      </c>
      <c r="H107" s="366" t="s">
        <v>111</v>
      </c>
      <c r="I107" s="366"/>
      <c r="J107" s="366"/>
      <c r="K107" s="366"/>
      <c r="L107" s="366"/>
      <c r="M107" s="366"/>
      <c r="N107" s="366"/>
      <c r="O107" s="157"/>
      <c r="P107" s="157"/>
    </row>
    <row r="108" spans="1:16" ht="28.5" customHeight="1" hidden="1">
      <c r="A108" s="366"/>
      <c r="B108" s="366"/>
      <c r="C108" s="366"/>
      <c r="D108" s="308"/>
      <c r="E108" s="366"/>
      <c r="F108" s="366"/>
      <c r="G108" s="366"/>
      <c r="H108" s="366" t="s">
        <v>112</v>
      </c>
      <c r="I108" s="366"/>
      <c r="J108" s="366"/>
      <c r="K108" s="366" t="s">
        <v>113</v>
      </c>
      <c r="L108" s="366" t="s">
        <v>135</v>
      </c>
      <c r="M108" s="366" t="s">
        <v>114</v>
      </c>
      <c r="N108" s="366"/>
      <c r="O108" s="157"/>
      <c r="P108" s="157"/>
    </row>
    <row r="109" spans="1:16" ht="38.25" customHeight="1" hidden="1">
      <c r="A109" s="366"/>
      <c r="B109" s="366"/>
      <c r="C109" s="366"/>
      <c r="D109" s="308"/>
      <c r="E109" s="366"/>
      <c r="F109" s="366"/>
      <c r="G109" s="366"/>
      <c r="H109" s="366" t="s">
        <v>96</v>
      </c>
      <c r="I109" s="366" t="s">
        <v>349</v>
      </c>
      <c r="J109" s="366" t="s">
        <v>350</v>
      </c>
      <c r="K109" s="366"/>
      <c r="L109" s="366"/>
      <c r="M109" s="366"/>
      <c r="N109" s="366"/>
      <c r="O109" s="157"/>
      <c r="P109" s="157"/>
    </row>
    <row r="110" spans="1:16" ht="67.5" customHeight="1" hidden="1">
      <c r="A110" s="366"/>
      <c r="B110" s="366"/>
      <c r="C110" s="366"/>
      <c r="D110" s="308"/>
      <c r="E110" s="366"/>
      <c r="F110" s="366"/>
      <c r="G110" s="366"/>
      <c r="H110" s="366"/>
      <c r="I110" s="366"/>
      <c r="J110" s="366"/>
      <c r="K110" s="366"/>
      <c r="L110" s="366"/>
      <c r="M110" s="149" t="s">
        <v>96</v>
      </c>
      <c r="N110" s="149" t="s">
        <v>351</v>
      </c>
      <c r="O110" s="157"/>
      <c r="P110" s="157"/>
    </row>
    <row r="111" spans="1:16" ht="18.75" hidden="1">
      <c r="A111" s="149">
        <v>1</v>
      </c>
      <c r="B111" s="149">
        <v>1</v>
      </c>
      <c r="C111" s="149">
        <v>2</v>
      </c>
      <c r="D111" s="72">
        <v>3</v>
      </c>
      <c r="E111" s="149">
        <v>4</v>
      </c>
      <c r="F111" s="149">
        <v>5</v>
      </c>
      <c r="G111" s="149">
        <v>6</v>
      </c>
      <c r="H111" s="149">
        <v>7</v>
      </c>
      <c r="I111" s="149">
        <v>8</v>
      </c>
      <c r="J111" s="149">
        <v>9</v>
      </c>
      <c r="K111" s="149">
        <v>10</v>
      </c>
      <c r="L111" s="149">
        <v>11</v>
      </c>
      <c r="M111" s="149">
        <v>12</v>
      </c>
      <c r="N111" s="149">
        <v>13</v>
      </c>
      <c r="O111" s="157"/>
      <c r="P111" s="157"/>
    </row>
    <row r="112" spans="1:16" ht="18.75" hidden="1">
      <c r="A112" s="149"/>
      <c r="B112" s="149"/>
      <c r="C112" s="150" t="s">
        <v>58</v>
      </c>
      <c r="D112" s="151" t="s">
        <v>150</v>
      </c>
      <c r="E112" s="149" t="s">
        <v>16</v>
      </c>
      <c r="F112" s="149" t="s">
        <v>16</v>
      </c>
      <c r="G112" s="153"/>
      <c r="H112" s="149"/>
      <c r="I112" s="149"/>
      <c r="J112" s="149"/>
      <c r="K112" s="149"/>
      <c r="L112" s="149"/>
      <c r="M112" s="149"/>
      <c r="N112" s="149"/>
      <c r="O112" s="157"/>
      <c r="P112" s="157"/>
    </row>
    <row r="113" spans="1:16" ht="18.75" hidden="1">
      <c r="A113" s="149"/>
      <c r="B113" s="149"/>
      <c r="C113" s="159" t="s">
        <v>124</v>
      </c>
      <c r="D113" s="160" t="s">
        <v>381</v>
      </c>
      <c r="E113" s="149" t="s">
        <v>16</v>
      </c>
      <c r="F113" s="149" t="s">
        <v>16</v>
      </c>
      <c r="G113" s="153"/>
      <c r="H113" s="149"/>
      <c r="I113" s="149"/>
      <c r="J113" s="149"/>
      <c r="K113" s="149"/>
      <c r="L113" s="149"/>
      <c r="M113" s="149"/>
      <c r="N113" s="149"/>
      <c r="O113" s="157"/>
      <c r="P113" s="157"/>
    </row>
    <row r="114" spans="1:16" ht="18.75" hidden="1">
      <c r="A114" s="149"/>
      <c r="B114" s="149"/>
      <c r="C114" s="171" t="s">
        <v>146</v>
      </c>
      <c r="D114" s="35"/>
      <c r="E114" s="149"/>
      <c r="F114" s="149"/>
      <c r="G114" s="153"/>
      <c r="H114" s="149"/>
      <c r="I114" s="149"/>
      <c r="J114" s="149"/>
      <c r="K114" s="149"/>
      <c r="L114" s="149"/>
      <c r="M114" s="149"/>
      <c r="N114" s="149"/>
      <c r="O114" s="157"/>
      <c r="P114" s="157"/>
    </row>
    <row r="115" spans="1:16" ht="18.75" hidden="1">
      <c r="A115" s="149"/>
      <c r="B115" s="149"/>
      <c r="C115" s="171"/>
      <c r="D115" s="35"/>
      <c r="E115" s="149"/>
      <c r="F115" s="149"/>
      <c r="G115" s="153"/>
      <c r="H115" s="149"/>
      <c r="I115" s="149"/>
      <c r="J115" s="149"/>
      <c r="K115" s="149"/>
      <c r="L115" s="149"/>
      <c r="M115" s="149"/>
      <c r="N115" s="149"/>
      <c r="O115" s="157"/>
      <c r="P115" s="157"/>
    </row>
    <row r="116" spans="1:16" ht="18.75" hidden="1">
      <c r="A116" s="149" t="s">
        <v>203</v>
      </c>
      <c r="B116" s="149" t="s">
        <v>203</v>
      </c>
      <c r="C116" s="149" t="s">
        <v>203</v>
      </c>
      <c r="D116" s="151" t="s">
        <v>29</v>
      </c>
      <c r="E116" s="149" t="s">
        <v>16</v>
      </c>
      <c r="F116" s="149" t="s">
        <v>16</v>
      </c>
      <c r="G116" s="153"/>
      <c r="H116" s="153"/>
      <c r="I116" s="153"/>
      <c r="J116" s="149"/>
      <c r="K116" s="153"/>
      <c r="L116" s="153"/>
      <c r="M116" s="153"/>
      <c r="N116" s="153"/>
      <c r="O116" s="157"/>
      <c r="P116" s="157"/>
    </row>
    <row r="117" spans="1:16" ht="18.75">
      <c r="A117" s="158"/>
      <c r="B117" s="158"/>
      <c r="C117" s="157"/>
      <c r="E117" s="157"/>
      <c r="F117" s="157"/>
      <c r="G117" s="157"/>
      <c r="H117" s="157"/>
      <c r="I117" s="157"/>
      <c r="J117" s="157"/>
      <c r="K117" s="157"/>
      <c r="L117" s="157"/>
      <c r="M117" s="157"/>
      <c r="N117" s="157"/>
      <c r="O117" s="157"/>
      <c r="P117" s="157"/>
    </row>
    <row r="118" spans="2:16" ht="18.75">
      <c r="B118" s="374" t="s">
        <v>151</v>
      </c>
      <c r="C118" s="374"/>
      <c r="D118" s="374"/>
      <c r="E118" s="374"/>
      <c r="F118" s="374"/>
      <c r="G118" s="374"/>
      <c r="H118" s="374"/>
      <c r="I118" s="374"/>
      <c r="J118" s="374"/>
      <c r="K118" s="374"/>
      <c r="L118" s="374"/>
      <c r="M118" s="374"/>
      <c r="N118" s="374"/>
      <c r="O118" s="157"/>
      <c r="P118" s="157"/>
    </row>
    <row r="119" spans="1:16" ht="18.75">
      <c r="A119" s="158"/>
      <c r="B119" s="158"/>
      <c r="C119" s="157"/>
      <c r="E119" s="157"/>
      <c r="F119" s="157"/>
      <c r="G119" s="157"/>
      <c r="H119" s="157"/>
      <c r="I119" s="157"/>
      <c r="J119" s="157"/>
      <c r="K119" s="157"/>
      <c r="L119" s="157"/>
      <c r="M119" s="157"/>
      <c r="N119" s="157"/>
      <c r="O119" s="157"/>
      <c r="P119" s="157"/>
    </row>
    <row r="120" spans="1:16" ht="19.5" customHeight="1">
      <c r="A120" s="366" t="s">
        <v>107</v>
      </c>
      <c r="B120" s="366" t="s">
        <v>107</v>
      </c>
      <c r="C120" s="366" t="s">
        <v>31</v>
      </c>
      <c r="D120" s="308" t="s">
        <v>152</v>
      </c>
      <c r="E120" s="366" t="s">
        <v>153</v>
      </c>
      <c r="F120" s="366" t="s">
        <v>154</v>
      </c>
      <c r="G120" s="366" t="s">
        <v>487</v>
      </c>
      <c r="H120" s="366" t="s">
        <v>111</v>
      </c>
      <c r="I120" s="366"/>
      <c r="J120" s="366"/>
      <c r="K120" s="366"/>
      <c r="L120" s="366"/>
      <c r="M120" s="366"/>
      <c r="N120" s="366"/>
      <c r="O120" s="157"/>
      <c r="P120" s="157"/>
    </row>
    <row r="121" spans="1:16" ht="35.25" customHeight="1">
      <c r="A121" s="366"/>
      <c r="B121" s="366"/>
      <c r="C121" s="366"/>
      <c r="D121" s="308"/>
      <c r="E121" s="366"/>
      <c r="F121" s="366"/>
      <c r="G121" s="366"/>
      <c r="H121" s="366" t="s">
        <v>112</v>
      </c>
      <c r="I121" s="366"/>
      <c r="J121" s="366"/>
      <c r="K121" s="366" t="s">
        <v>113</v>
      </c>
      <c r="L121" s="366" t="s">
        <v>135</v>
      </c>
      <c r="M121" s="366" t="s">
        <v>114</v>
      </c>
      <c r="N121" s="366"/>
      <c r="O121" s="157"/>
      <c r="P121" s="157"/>
    </row>
    <row r="122" spans="1:16" ht="38.25" customHeight="1">
      <c r="A122" s="366"/>
      <c r="B122" s="366"/>
      <c r="C122" s="366"/>
      <c r="D122" s="308"/>
      <c r="E122" s="366"/>
      <c r="F122" s="366"/>
      <c r="G122" s="366"/>
      <c r="H122" s="366" t="s">
        <v>96</v>
      </c>
      <c r="I122" s="366" t="s">
        <v>349</v>
      </c>
      <c r="J122" s="366" t="s">
        <v>350</v>
      </c>
      <c r="K122" s="366"/>
      <c r="L122" s="366"/>
      <c r="M122" s="366"/>
      <c r="N122" s="366"/>
      <c r="O122" s="157"/>
      <c r="P122" s="157"/>
    </row>
    <row r="123" spans="1:16" ht="68.25" customHeight="1">
      <c r="A123" s="366"/>
      <c r="B123" s="366"/>
      <c r="C123" s="366"/>
      <c r="D123" s="308"/>
      <c r="E123" s="366"/>
      <c r="F123" s="366"/>
      <c r="G123" s="366"/>
      <c r="H123" s="366"/>
      <c r="I123" s="366"/>
      <c r="J123" s="366"/>
      <c r="K123" s="366"/>
      <c r="L123" s="366"/>
      <c r="M123" s="149" t="s">
        <v>96</v>
      </c>
      <c r="N123" s="149" t="s">
        <v>351</v>
      </c>
      <c r="O123" s="157"/>
      <c r="P123" s="157"/>
    </row>
    <row r="124" spans="1:16" ht="18.75">
      <c r="A124" s="149">
        <v>1</v>
      </c>
      <c r="B124" s="149">
        <v>1</v>
      </c>
      <c r="C124" s="149">
        <v>2</v>
      </c>
      <c r="D124" s="72">
        <v>3</v>
      </c>
      <c r="E124" s="149">
        <v>4</v>
      </c>
      <c r="F124" s="149">
        <v>5</v>
      </c>
      <c r="G124" s="149">
        <v>6</v>
      </c>
      <c r="H124" s="149">
        <v>7</v>
      </c>
      <c r="I124" s="149">
        <v>8</v>
      </c>
      <c r="J124" s="149">
        <v>9</v>
      </c>
      <c r="K124" s="149">
        <v>10</v>
      </c>
      <c r="L124" s="149">
        <v>11</v>
      </c>
      <c r="M124" s="149">
        <v>12</v>
      </c>
      <c r="N124" s="149">
        <v>13</v>
      </c>
      <c r="O124" s="157"/>
      <c r="P124" s="157"/>
    </row>
    <row r="125" spans="1:16" ht="64.5" customHeight="1">
      <c r="A125" s="149"/>
      <c r="B125" s="149"/>
      <c r="C125" s="150" t="s">
        <v>58</v>
      </c>
      <c r="D125" s="151" t="s">
        <v>227</v>
      </c>
      <c r="E125" s="153"/>
      <c r="F125" s="153"/>
      <c r="G125" s="153">
        <f>G126</f>
        <v>5096.1</v>
      </c>
      <c r="H125" s="149"/>
      <c r="I125" s="149"/>
      <c r="J125" s="153">
        <f>J126</f>
        <v>5096.1</v>
      </c>
      <c r="K125" s="149"/>
      <c r="L125" s="149"/>
      <c r="M125" s="149"/>
      <c r="N125" s="149"/>
      <c r="O125" s="157"/>
      <c r="P125" s="157"/>
    </row>
    <row r="126" spans="1:16" ht="49.5" customHeight="1">
      <c r="A126" s="149">
        <v>853</v>
      </c>
      <c r="B126" s="149">
        <v>853</v>
      </c>
      <c r="C126" s="159" t="s">
        <v>124</v>
      </c>
      <c r="D126" s="36" t="s">
        <v>229</v>
      </c>
      <c r="E126" s="153">
        <f>G126/F126</f>
        <v>5096.1</v>
      </c>
      <c r="F126" s="153">
        <v>1</v>
      </c>
      <c r="G126" s="153">
        <f>M126</f>
        <v>5096.1</v>
      </c>
      <c r="H126" s="149">
        <f>J126</f>
        <v>5096.1</v>
      </c>
      <c r="I126" s="149"/>
      <c r="J126" s="166">
        <f>G126</f>
        <v>5096.1</v>
      </c>
      <c r="K126" s="149"/>
      <c r="L126" s="149"/>
      <c r="M126" s="149">
        <f>4732.33+63.77+300</f>
        <v>5096.1</v>
      </c>
      <c r="N126" s="149"/>
      <c r="O126" s="157"/>
      <c r="P126" s="157"/>
    </row>
    <row r="127" spans="1:16" ht="34.5" customHeight="1">
      <c r="A127" s="149" t="s">
        <v>203</v>
      </c>
      <c r="B127" s="149" t="s">
        <v>203</v>
      </c>
      <c r="C127" s="149" t="s">
        <v>203</v>
      </c>
      <c r="D127" s="151" t="s">
        <v>29</v>
      </c>
      <c r="E127" s="149" t="s">
        <v>16</v>
      </c>
      <c r="F127" s="149" t="s">
        <v>16</v>
      </c>
      <c r="G127" s="153">
        <f>G126</f>
        <v>5096.1</v>
      </c>
      <c r="H127" s="153">
        <f>J127</f>
        <v>5096.1</v>
      </c>
      <c r="I127" s="153"/>
      <c r="J127" s="166">
        <f>J126</f>
        <v>5096.1</v>
      </c>
      <c r="K127" s="153"/>
      <c r="L127" s="153"/>
      <c r="M127" s="153">
        <f>M126</f>
        <v>5096.1</v>
      </c>
      <c r="N127" s="153"/>
      <c r="O127" s="157"/>
      <c r="P127" s="157"/>
    </row>
    <row r="128" spans="1:16" ht="18.75">
      <c r="A128" s="172">
        <f>'Раздел 1'!D56-G127</f>
        <v>0</v>
      </c>
      <c r="B128" s="172"/>
      <c r="C128" s="73"/>
      <c r="D128" s="173"/>
      <c r="E128" s="174"/>
      <c r="F128" s="174"/>
      <c r="G128" s="73"/>
      <c r="H128" s="73"/>
      <c r="I128" s="73"/>
      <c r="J128" s="174"/>
      <c r="K128" s="73"/>
      <c r="L128" s="73"/>
      <c r="M128" s="73"/>
      <c r="N128" s="73"/>
      <c r="O128" s="157"/>
      <c r="P128" s="157"/>
    </row>
    <row r="129" spans="2:16" ht="18.75">
      <c r="B129" s="379" t="s">
        <v>155</v>
      </c>
      <c r="C129" s="379"/>
      <c r="D129" s="379"/>
      <c r="E129" s="379"/>
      <c r="F129" s="379"/>
      <c r="G129" s="379"/>
      <c r="H129" s="379"/>
      <c r="I129" s="379"/>
      <c r="J129" s="379"/>
      <c r="K129" s="379"/>
      <c r="L129" s="379"/>
      <c r="M129" s="379"/>
      <c r="N129" s="379"/>
      <c r="O129" s="157"/>
      <c r="P129" s="157"/>
    </row>
    <row r="130" spans="1:16" ht="18.75">
      <c r="A130" s="176"/>
      <c r="B130" s="176"/>
      <c r="C130" s="157"/>
      <c r="E130" s="157"/>
      <c r="F130" s="157"/>
      <c r="G130" s="157"/>
      <c r="H130" s="157"/>
      <c r="I130" s="157"/>
      <c r="J130" s="157"/>
      <c r="K130" s="157"/>
      <c r="L130" s="157"/>
      <c r="M130" s="157"/>
      <c r="N130" s="157"/>
      <c r="O130" s="157"/>
      <c r="P130" s="157"/>
    </row>
    <row r="131" spans="2:16" ht="18.75">
      <c r="B131" s="374" t="s">
        <v>382</v>
      </c>
      <c r="C131" s="374"/>
      <c r="D131" s="374"/>
      <c r="E131" s="374"/>
      <c r="F131" s="374"/>
      <c r="G131" s="374"/>
      <c r="H131" s="374"/>
      <c r="I131" s="374"/>
      <c r="J131" s="374"/>
      <c r="K131" s="374"/>
      <c r="L131" s="374"/>
      <c r="M131" s="374"/>
      <c r="N131" s="374"/>
      <c r="O131" s="157"/>
      <c r="P131" s="157"/>
    </row>
    <row r="132" spans="1:16" ht="18.75">
      <c r="A132" s="158"/>
      <c r="B132" s="158"/>
      <c r="C132" s="157"/>
      <c r="E132" s="157"/>
      <c r="F132" s="157"/>
      <c r="G132" s="157"/>
      <c r="H132" s="157"/>
      <c r="I132" s="157"/>
      <c r="J132" s="157"/>
      <c r="K132" s="157"/>
      <c r="L132" s="157"/>
      <c r="M132" s="157"/>
      <c r="N132" s="157"/>
      <c r="O132" s="157"/>
      <c r="P132" s="157"/>
    </row>
    <row r="133" spans="1:16" ht="19.5" customHeight="1" hidden="1">
      <c r="A133" s="366" t="s">
        <v>107</v>
      </c>
      <c r="B133" s="366" t="s">
        <v>107</v>
      </c>
      <c r="C133" s="366" t="s">
        <v>31</v>
      </c>
      <c r="D133" s="308" t="s">
        <v>8</v>
      </c>
      <c r="E133" s="149" t="s">
        <v>156</v>
      </c>
      <c r="F133" s="149" t="s">
        <v>157</v>
      </c>
      <c r="G133" s="149" t="s">
        <v>158</v>
      </c>
      <c r="H133" s="366" t="s">
        <v>111</v>
      </c>
      <c r="I133" s="366"/>
      <c r="J133" s="366"/>
      <c r="K133" s="366"/>
      <c r="L133" s="366"/>
      <c r="M133" s="366"/>
      <c r="N133" s="366"/>
      <c r="O133" s="157"/>
      <c r="P133" s="157"/>
    </row>
    <row r="134" spans="1:16" ht="38.25" customHeight="1" hidden="1">
      <c r="A134" s="366"/>
      <c r="B134" s="366"/>
      <c r="C134" s="366"/>
      <c r="D134" s="308"/>
      <c r="E134" s="362" t="s">
        <v>159</v>
      </c>
      <c r="F134" s="362" t="s">
        <v>160</v>
      </c>
      <c r="G134" s="380" t="s">
        <v>383</v>
      </c>
      <c r="H134" s="366" t="s">
        <v>112</v>
      </c>
      <c r="I134" s="366"/>
      <c r="J134" s="366"/>
      <c r="K134" s="366" t="s">
        <v>113</v>
      </c>
      <c r="L134" s="366" t="s">
        <v>135</v>
      </c>
      <c r="M134" s="366" t="s">
        <v>114</v>
      </c>
      <c r="N134" s="366"/>
      <c r="O134" s="157"/>
      <c r="P134" s="157"/>
    </row>
    <row r="135" spans="1:16" ht="18.75" hidden="1">
      <c r="A135" s="366"/>
      <c r="B135" s="366"/>
      <c r="C135" s="366"/>
      <c r="D135" s="308"/>
      <c r="E135" s="363"/>
      <c r="F135" s="363"/>
      <c r="G135" s="381"/>
      <c r="H135" s="366" t="s">
        <v>96</v>
      </c>
      <c r="I135" s="366" t="s">
        <v>349</v>
      </c>
      <c r="J135" s="366" t="s">
        <v>350</v>
      </c>
      <c r="K135" s="366"/>
      <c r="L135" s="366"/>
      <c r="M135" s="366"/>
      <c r="N135" s="366"/>
      <c r="O135" s="157"/>
      <c r="P135" s="157"/>
    </row>
    <row r="136" spans="1:16" ht="83.25" customHeight="1" hidden="1">
      <c r="A136" s="366"/>
      <c r="B136" s="366"/>
      <c r="C136" s="366"/>
      <c r="D136" s="308"/>
      <c r="E136" s="363"/>
      <c r="F136" s="363"/>
      <c r="G136" s="381"/>
      <c r="H136" s="366"/>
      <c r="I136" s="366"/>
      <c r="J136" s="366"/>
      <c r="K136" s="366"/>
      <c r="L136" s="366"/>
      <c r="M136" s="149" t="s">
        <v>96</v>
      </c>
      <c r="N136" s="149" t="s">
        <v>351</v>
      </c>
      <c r="O136" s="157"/>
      <c r="P136" s="157"/>
    </row>
    <row r="137" spans="1:16" ht="18.75" hidden="1">
      <c r="A137" s="149">
        <v>1</v>
      </c>
      <c r="B137" s="149">
        <v>1</v>
      </c>
      <c r="C137" s="149">
        <v>2</v>
      </c>
      <c r="D137" s="72">
        <v>3</v>
      </c>
      <c r="E137" s="149">
        <v>4</v>
      </c>
      <c r="F137" s="149">
        <v>5</v>
      </c>
      <c r="G137" s="149">
        <v>6</v>
      </c>
      <c r="H137" s="149">
        <v>7</v>
      </c>
      <c r="I137" s="149">
        <v>8</v>
      </c>
      <c r="J137" s="149">
        <v>9</v>
      </c>
      <c r="K137" s="149">
        <v>10</v>
      </c>
      <c r="L137" s="149">
        <v>11</v>
      </c>
      <c r="M137" s="149">
        <v>12</v>
      </c>
      <c r="N137" s="149">
        <v>13</v>
      </c>
      <c r="O137" s="157"/>
      <c r="P137" s="157"/>
    </row>
    <row r="138" spans="1:16" ht="46.5" customHeight="1" hidden="1">
      <c r="A138" s="153"/>
      <c r="B138" s="153"/>
      <c r="C138" s="150" t="s">
        <v>58</v>
      </c>
      <c r="D138" s="151" t="s">
        <v>384</v>
      </c>
      <c r="E138" s="149" t="s">
        <v>16</v>
      </c>
      <c r="F138" s="149" t="s">
        <v>16</v>
      </c>
      <c r="G138" s="153"/>
      <c r="H138" s="153"/>
      <c r="I138" s="153"/>
      <c r="J138" s="153"/>
      <c r="K138" s="153"/>
      <c r="L138" s="153"/>
      <c r="M138" s="153"/>
      <c r="N138" s="153"/>
      <c r="O138" s="157"/>
      <c r="P138" s="157"/>
    </row>
    <row r="139" spans="1:16" ht="18.75" hidden="1">
      <c r="A139" s="153"/>
      <c r="B139" s="153"/>
      <c r="C139" s="159" t="s">
        <v>124</v>
      </c>
      <c r="D139" s="160" t="s">
        <v>385</v>
      </c>
      <c r="E139" s="149" t="s">
        <v>16</v>
      </c>
      <c r="F139" s="149" t="s">
        <v>16</v>
      </c>
      <c r="G139" s="149"/>
      <c r="H139" s="149"/>
      <c r="I139" s="149"/>
      <c r="J139" s="149"/>
      <c r="K139" s="149"/>
      <c r="L139" s="149"/>
      <c r="M139" s="149"/>
      <c r="N139" s="149"/>
      <c r="O139" s="157"/>
      <c r="P139" s="157"/>
    </row>
    <row r="140" spans="1:16" ht="18.75" hidden="1">
      <c r="A140" s="153"/>
      <c r="B140" s="153"/>
      <c r="C140" s="171" t="s">
        <v>146</v>
      </c>
      <c r="D140" s="35"/>
      <c r="E140" s="153"/>
      <c r="F140" s="153"/>
      <c r="G140" s="153"/>
      <c r="H140" s="149"/>
      <c r="I140" s="149"/>
      <c r="J140" s="149"/>
      <c r="K140" s="149"/>
      <c r="L140" s="149"/>
      <c r="M140" s="149"/>
      <c r="N140" s="149"/>
      <c r="O140" s="157"/>
      <c r="P140" s="157"/>
    </row>
    <row r="141" spans="1:16" ht="18.75" hidden="1">
      <c r="A141" s="153"/>
      <c r="B141" s="153"/>
      <c r="C141" s="153"/>
      <c r="D141" s="151"/>
      <c r="E141" s="153"/>
      <c r="F141" s="153"/>
      <c r="G141" s="153"/>
      <c r="H141" s="149"/>
      <c r="I141" s="149"/>
      <c r="J141" s="149"/>
      <c r="K141" s="149"/>
      <c r="L141" s="149"/>
      <c r="M141" s="149"/>
      <c r="N141" s="149"/>
      <c r="O141" s="157"/>
      <c r="P141" s="157"/>
    </row>
    <row r="142" spans="1:16" ht="45" customHeight="1" hidden="1">
      <c r="A142" s="153"/>
      <c r="B142" s="153"/>
      <c r="C142" s="150">
        <v>2</v>
      </c>
      <c r="D142" s="151" t="s">
        <v>386</v>
      </c>
      <c r="E142" s="149" t="s">
        <v>16</v>
      </c>
      <c r="F142" s="149" t="s">
        <v>16</v>
      </c>
      <c r="G142" s="153"/>
      <c r="H142" s="153"/>
      <c r="I142" s="153"/>
      <c r="J142" s="153"/>
      <c r="K142" s="153"/>
      <c r="L142" s="153"/>
      <c r="M142" s="153"/>
      <c r="N142" s="153"/>
      <c r="O142" s="157"/>
      <c r="P142" s="157"/>
    </row>
    <row r="143" spans="1:16" ht="18.75" hidden="1">
      <c r="A143" s="153"/>
      <c r="B143" s="153"/>
      <c r="C143" s="159" t="s">
        <v>136</v>
      </c>
      <c r="D143" s="160" t="s">
        <v>385</v>
      </c>
      <c r="E143" s="149" t="s">
        <v>16</v>
      </c>
      <c r="F143" s="149" t="s">
        <v>16</v>
      </c>
      <c r="G143" s="149"/>
      <c r="H143" s="149"/>
      <c r="I143" s="149"/>
      <c r="J143" s="149"/>
      <c r="K143" s="149"/>
      <c r="L143" s="149"/>
      <c r="M143" s="149"/>
      <c r="N143" s="149"/>
      <c r="O143" s="157"/>
      <c r="P143" s="157"/>
    </row>
    <row r="144" spans="1:16" ht="18.75" hidden="1">
      <c r="A144" s="153"/>
      <c r="B144" s="153"/>
      <c r="C144" s="171" t="s">
        <v>380</v>
      </c>
      <c r="D144" s="35"/>
      <c r="E144" s="153"/>
      <c r="F144" s="153"/>
      <c r="G144" s="153"/>
      <c r="H144" s="149"/>
      <c r="I144" s="149"/>
      <c r="J144" s="149"/>
      <c r="K144" s="149"/>
      <c r="L144" s="149"/>
      <c r="M144" s="149"/>
      <c r="N144" s="149"/>
      <c r="O144" s="157"/>
      <c r="P144" s="157"/>
    </row>
    <row r="145" spans="1:16" ht="18.75" hidden="1">
      <c r="A145" s="153"/>
      <c r="B145" s="153"/>
      <c r="C145" s="153"/>
      <c r="D145" s="151"/>
      <c r="E145" s="153"/>
      <c r="F145" s="153"/>
      <c r="G145" s="153"/>
      <c r="H145" s="149"/>
      <c r="I145" s="149"/>
      <c r="J145" s="149"/>
      <c r="K145" s="149"/>
      <c r="L145" s="149"/>
      <c r="M145" s="149"/>
      <c r="N145" s="149"/>
      <c r="O145" s="157"/>
      <c r="P145" s="157"/>
    </row>
    <row r="146" spans="1:16" ht="45" customHeight="1" hidden="1">
      <c r="A146" s="153"/>
      <c r="B146" s="153"/>
      <c r="C146" s="150">
        <v>3</v>
      </c>
      <c r="D146" s="151" t="s">
        <v>161</v>
      </c>
      <c r="E146" s="149" t="s">
        <v>16</v>
      </c>
      <c r="F146" s="149" t="s">
        <v>16</v>
      </c>
      <c r="G146" s="153"/>
      <c r="H146" s="153"/>
      <c r="I146" s="153"/>
      <c r="J146" s="153"/>
      <c r="K146" s="153"/>
      <c r="L146" s="153"/>
      <c r="M146" s="153"/>
      <c r="N146" s="153"/>
      <c r="O146" s="157"/>
      <c r="P146" s="157"/>
    </row>
    <row r="147" spans="1:16" ht="18.75" hidden="1">
      <c r="A147" s="153"/>
      <c r="B147" s="153"/>
      <c r="C147" s="159" t="s">
        <v>142</v>
      </c>
      <c r="D147" s="160" t="s">
        <v>385</v>
      </c>
      <c r="E147" s="149" t="s">
        <v>16</v>
      </c>
      <c r="F147" s="149" t="s">
        <v>16</v>
      </c>
      <c r="G147" s="149"/>
      <c r="H147" s="149"/>
      <c r="I147" s="149"/>
      <c r="J147" s="149"/>
      <c r="K147" s="149"/>
      <c r="L147" s="149"/>
      <c r="M147" s="149"/>
      <c r="N147" s="149"/>
      <c r="O147" s="157"/>
      <c r="P147" s="157"/>
    </row>
    <row r="148" spans="1:16" ht="18.75" hidden="1">
      <c r="A148" s="153"/>
      <c r="B148" s="153"/>
      <c r="C148" s="178" t="s">
        <v>387</v>
      </c>
      <c r="D148" s="35"/>
      <c r="E148" s="153"/>
      <c r="F148" s="153"/>
      <c r="G148" s="153"/>
      <c r="H148" s="149"/>
      <c r="I148" s="149"/>
      <c r="J148" s="149"/>
      <c r="K148" s="149"/>
      <c r="L148" s="149"/>
      <c r="M148" s="149"/>
      <c r="N148" s="149"/>
      <c r="O148" s="157"/>
      <c r="P148" s="157"/>
    </row>
    <row r="149" spans="1:16" ht="18.75" hidden="1">
      <c r="A149" s="153"/>
      <c r="B149" s="153"/>
      <c r="C149" s="153"/>
      <c r="D149" s="151"/>
      <c r="E149" s="153"/>
      <c r="F149" s="153"/>
      <c r="G149" s="153"/>
      <c r="H149" s="149"/>
      <c r="I149" s="149"/>
      <c r="J149" s="149"/>
      <c r="K149" s="149"/>
      <c r="L149" s="149"/>
      <c r="M149" s="149"/>
      <c r="N149" s="149"/>
      <c r="O149" s="157"/>
      <c r="P149" s="157"/>
    </row>
    <row r="150" spans="1:16" ht="18.75" hidden="1">
      <c r="A150" s="149" t="s">
        <v>203</v>
      </c>
      <c r="B150" s="149" t="s">
        <v>203</v>
      </c>
      <c r="C150" s="149" t="s">
        <v>203</v>
      </c>
      <c r="D150" s="151" t="s">
        <v>29</v>
      </c>
      <c r="E150" s="149" t="s">
        <v>16</v>
      </c>
      <c r="F150" s="149" t="s">
        <v>16</v>
      </c>
      <c r="G150" s="153"/>
      <c r="H150" s="153"/>
      <c r="I150" s="153"/>
      <c r="J150" s="153"/>
      <c r="K150" s="153"/>
      <c r="L150" s="153"/>
      <c r="M150" s="153"/>
      <c r="N150" s="153"/>
      <c r="O150" s="157"/>
      <c r="P150" s="157"/>
    </row>
    <row r="151" spans="1:16" ht="18.75">
      <c r="A151" s="158"/>
      <c r="B151" s="158"/>
      <c r="C151" s="157"/>
      <c r="E151" s="157"/>
      <c r="F151" s="157"/>
      <c r="G151" s="157"/>
      <c r="H151" s="157"/>
      <c r="I151" s="157"/>
      <c r="J151" s="157"/>
      <c r="K151" s="157"/>
      <c r="L151" s="157"/>
      <c r="M151" s="157"/>
      <c r="N151" s="157"/>
      <c r="O151" s="157"/>
      <c r="P151" s="157"/>
    </row>
    <row r="152" spans="2:16" ht="18.75">
      <c r="B152" s="374" t="s">
        <v>388</v>
      </c>
      <c r="C152" s="374"/>
      <c r="D152" s="374"/>
      <c r="E152" s="374"/>
      <c r="F152" s="374"/>
      <c r="G152" s="374"/>
      <c r="H152" s="374"/>
      <c r="I152" s="374"/>
      <c r="J152" s="374"/>
      <c r="K152" s="374"/>
      <c r="L152" s="374"/>
      <c r="M152" s="374"/>
      <c r="N152" s="374"/>
      <c r="O152" s="157"/>
      <c r="P152" s="157"/>
    </row>
    <row r="153" spans="1:16" ht="18.75">
      <c r="A153" s="158"/>
      <c r="B153" s="158"/>
      <c r="C153" s="157"/>
      <c r="E153" s="157"/>
      <c r="F153" s="157"/>
      <c r="G153" s="157"/>
      <c r="H153" s="157"/>
      <c r="I153" s="157"/>
      <c r="J153" s="157"/>
      <c r="K153" s="157"/>
      <c r="L153" s="157"/>
      <c r="M153" s="157"/>
      <c r="N153" s="157"/>
      <c r="O153" s="157"/>
      <c r="P153" s="157"/>
    </row>
    <row r="154" spans="1:16" ht="19.5" customHeight="1" hidden="1">
      <c r="A154" s="366" t="s">
        <v>107</v>
      </c>
      <c r="B154" s="366" t="s">
        <v>107</v>
      </c>
      <c r="C154" s="366" t="s">
        <v>31</v>
      </c>
      <c r="D154" s="308" t="s">
        <v>8</v>
      </c>
      <c r="E154" s="366" t="s">
        <v>139</v>
      </c>
      <c r="F154" s="366" t="s">
        <v>162</v>
      </c>
      <c r="G154" s="366" t="s">
        <v>488</v>
      </c>
      <c r="H154" s="366" t="s">
        <v>111</v>
      </c>
      <c r="I154" s="366"/>
      <c r="J154" s="366"/>
      <c r="K154" s="366"/>
      <c r="L154" s="366"/>
      <c r="M154" s="366"/>
      <c r="N154" s="366"/>
      <c r="O154" s="157"/>
      <c r="P154" s="157"/>
    </row>
    <row r="155" spans="1:16" ht="82.5" customHeight="1" hidden="1">
      <c r="A155" s="366"/>
      <c r="B155" s="366"/>
      <c r="C155" s="366"/>
      <c r="D155" s="308"/>
      <c r="E155" s="366"/>
      <c r="F155" s="366"/>
      <c r="G155" s="366"/>
      <c r="H155" s="366" t="s">
        <v>112</v>
      </c>
      <c r="I155" s="366"/>
      <c r="J155" s="366"/>
      <c r="K155" s="366" t="s">
        <v>113</v>
      </c>
      <c r="L155" s="366" t="s">
        <v>135</v>
      </c>
      <c r="M155" s="366" t="s">
        <v>114</v>
      </c>
      <c r="N155" s="366"/>
      <c r="O155" s="157"/>
      <c r="P155" s="157"/>
    </row>
    <row r="156" spans="1:16" ht="21" customHeight="1" hidden="1">
      <c r="A156" s="366"/>
      <c r="B156" s="366"/>
      <c r="C156" s="366"/>
      <c r="D156" s="308"/>
      <c r="E156" s="366"/>
      <c r="F156" s="366"/>
      <c r="G156" s="366"/>
      <c r="H156" s="366" t="s">
        <v>96</v>
      </c>
      <c r="I156" s="366" t="s">
        <v>349</v>
      </c>
      <c r="J156" s="366" t="s">
        <v>350</v>
      </c>
      <c r="K156" s="366"/>
      <c r="L156" s="366"/>
      <c r="M156" s="366"/>
      <c r="N156" s="366"/>
      <c r="O156" s="157"/>
      <c r="P156" s="157"/>
    </row>
    <row r="157" spans="1:16" ht="29.25" customHeight="1" hidden="1">
      <c r="A157" s="366"/>
      <c r="B157" s="366"/>
      <c r="C157" s="366"/>
      <c r="D157" s="308"/>
      <c r="E157" s="366"/>
      <c r="F157" s="366"/>
      <c r="G157" s="366"/>
      <c r="H157" s="366"/>
      <c r="I157" s="366"/>
      <c r="J157" s="366"/>
      <c r="K157" s="366"/>
      <c r="L157" s="366"/>
      <c r="M157" s="149" t="s">
        <v>96</v>
      </c>
      <c r="N157" s="149" t="s">
        <v>351</v>
      </c>
      <c r="O157" s="157"/>
      <c r="P157" s="157"/>
    </row>
    <row r="158" spans="1:16" ht="18.75" hidden="1">
      <c r="A158" s="149">
        <v>1</v>
      </c>
      <c r="B158" s="149">
        <v>1</v>
      </c>
      <c r="C158" s="149">
        <v>2</v>
      </c>
      <c r="D158" s="72">
        <v>3</v>
      </c>
      <c r="E158" s="149">
        <v>4</v>
      </c>
      <c r="F158" s="149">
        <v>5</v>
      </c>
      <c r="G158" s="149">
        <v>6</v>
      </c>
      <c r="H158" s="149">
        <v>7</v>
      </c>
      <c r="I158" s="149">
        <v>8</v>
      </c>
      <c r="J158" s="149">
        <v>9</v>
      </c>
      <c r="K158" s="149">
        <v>10</v>
      </c>
      <c r="L158" s="149">
        <v>11</v>
      </c>
      <c r="M158" s="149">
        <v>12</v>
      </c>
      <c r="N158" s="149">
        <v>13</v>
      </c>
      <c r="O158" s="157"/>
      <c r="P158" s="157"/>
    </row>
    <row r="159" spans="1:16" ht="95.25" customHeight="1" hidden="1">
      <c r="A159" s="149"/>
      <c r="B159" s="149"/>
      <c r="C159" s="150" t="s">
        <v>58</v>
      </c>
      <c r="D159" s="151" t="s">
        <v>389</v>
      </c>
      <c r="E159" s="153"/>
      <c r="F159" s="153"/>
      <c r="G159" s="153"/>
      <c r="H159" s="153"/>
      <c r="I159" s="153"/>
      <c r="J159" s="153"/>
      <c r="K159" s="153"/>
      <c r="L159" s="153"/>
      <c r="M159" s="153"/>
      <c r="N159" s="153"/>
      <c r="O159" s="157"/>
      <c r="P159" s="157"/>
    </row>
    <row r="160" spans="1:16" ht="18.75" hidden="1">
      <c r="A160" s="149"/>
      <c r="B160" s="149"/>
      <c r="C160" s="149"/>
      <c r="D160" s="151"/>
      <c r="E160" s="153"/>
      <c r="F160" s="153"/>
      <c r="G160" s="153"/>
      <c r="H160" s="149"/>
      <c r="I160" s="149"/>
      <c r="J160" s="149"/>
      <c r="K160" s="149"/>
      <c r="L160" s="149"/>
      <c r="M160" s="149"/>
      <c r="N160" s="149"/>
      <c r="O160" s="157"/>
      <c r="P160" s="157"/>
    </row>
    <row r="161" spans="1:16" ht="18.75" hidden="1">
      <c r="A161" s="149"/>
      <c r="B161" s="149"/>
      <c r="C161" s="150" t="s">
        <v>262</v>
      </c>
      <c r="D161" s="151" t="s">
        <v>163</v>
      </c>
      <c r="E161" s="153"/>
      <c r="F161" s="153"/>
      <c r="G161" s="153"/>
      <c r="H161" s="153"/>
      <c r="I161" s="153"/>
      <c r="J161" s="149"/>
      <c r="K161" s="153"/>
      <c r="L161" s="153"/>
      <c r="M161" s="153"/>
      <c r="N161" s="153"/>
      <c r="O161" s="157"/>
      <c r="P161" s="157"/>
    </row>
    <row r="162" spans="1:16" ht="18.75" hidden="1">
      <c r="A162" s="149"/>
      <c r="B162" s="149"/>
      <c r="C162" s="149"/>
      <c r="D162" s="151"/>
      <c r="E162" s="153"/>
      <c r="F162" s="153"/>
      <c r="G162" s="153"/>
      <c r="H162" s="153"/>
      <c r="I162" s="153"/>
      <c r="J162" s="149"/>
      <c r="K162" s="153"/>
      <c r="L162" s="153"/>
      <c r="M162" s="153"/>
      <c r="N162" s="153"/>
      <c r="O162" s="157"/>
      <c r="P162" s="157"/>
    </row>
    <row r="163" spans="1:16" ht="18.75" hidden="1">
      <c r="A163" s="149" t="s">
        <v>203</v>
      </c>
      <c r="B163" s="149" t="s">
        <v>203</v>
      </c>
      <c r="C163" s="149" t="s">
        <v>203</v>
      </c>
      <c r="D163" s="151" t="s">
        <v>29</v>
      </c>
      <c r="E163" s="149" t="s">
        <v>16</v>
      </c>
      <c r="F163" s="149" t="s">
        <v>16</v>
      </c>
      <c r="G163" s="153"/>
      <c r="H163" s="153"/>
      <c r="I163" s="153"/>
      <c r="J163" s="153"/>
      <c r="K163" s="153"/>
      <c r="L163" s="153"/>
      <c r="M163" s="153"/>
      <c r="N163" s="153"/>
      <c r="O163" s="157"/>
      <c r="P163" s="157"/>
    </row>
    <row r="164" spans="1:16" ht="18.75" hidden="1">
      <c r="A164" s="158"/>
      <c r="B164" s="158"/>
      <c r="C164" s="157"/>
      <c r="E164" s="157"/>
      <c r="F164" s="157"/>
      <c r="G164" s="157"/>
      <c r="H164" s="157"/>
      <c r="I164" s="157"/>
      <c r="J164" s="157"/>
      <c r="K164" s="157"/>
      <c r="L164" s="157"/>
      <c r="M164" s="157"/>
      <c r="N164" s="157"/>
      <c r="O164" s="157"/>
      <c r="P164" s="157"/>
    </row>
    <row r="165" spans="2:16" ht="18.75">
      <c r="B165" s="374" t="s">
        <v>164</v>
      </c>
      <c r="C165" s="374"/>
      <c r="D165" s="374"/>
      <c r="E165" s="374"/>
      <c r="F165" s="374"/>
      <c r="G165" s="374"/>
      <c r="H165" s="374"/>
      <c r="I165" s="374"/>
      <c r="J165" s="374"/>
      <c r="K165" s="374"/>
      <c r="L165" s="374"/>
      <c r="M165" s="374"/>
      <c r="N165" s="374"/>
      <c r="O165" s="157"/>
      <c r="P165" s="157"/>
    </row>
    <row r="166" spans="1:16" ht="18.75">
      <c r="A166" s="176"/>
      <c r="B166" s="176"/>
      <c r="C166" s="157"/>
      <c r="E166" s="157"/>
      <c r="F166" s="157"/>
      <c r="G166" s="157"/>
      <c r="H166" s="157"/>
      <c r="I166" s="157"/>
      <c r="J166" s="157"/>
      <c r="K166" s="157"/>
      <c r="L166" s="157"/>
      <c r="M166" s="157"/>
      <c r="N166" s="157"/>
      <c r="O166" s="157"/>
      <c r="P166" s="157"/>
    </row>
    <row r="167" spans="2:16" ht="18.75">
      <c r="B167" s="374" t="s">
        <v>165</v>
      </c>
      <c r="C167" s="374"/>
      <c r="D167" s="374"/>
      <c r="E167" s="374"/>
      <c r="F167" s="374"/>
      <c r="G167" s="374"/>
      <c r="H167" s="374"/>
      <c r="I167" s="374"/>
      <c r="J167" s="374"/>
      <c r="K167" s="374"/>
      <c r="L167" s="374"/>
      <c r="M167" s="374"/>
      <c r="N167" s="374"/>
      <c r="O167" s="157"/>
      <c r="P167" s="157"/>
    </row>
    <row r="168" spans="1:16" ht="18.75">
      <c r="A168" s="158"/>
      <c r="B168" s="158"/>
      <c r="C168" s="157"/>
      <c r="E168" s="157"/>
      <c r="F168" s="157"/>
      <c r="G168" s="157"/>
      <c r="H168" s="157"/>
      <c r="I168" s="157"/>
      <c r="J168" s="157"/>
      <c r="K168" s="157"/>
      <c r="L168" s="157"/>
      <c r="M168" s="157"/>
      <c r="N168" s="157"/>
      <c r="O168" s="157"/>
      <c r="P168" s="157"/>
    </row>
    <row r="169" spans="1:16" ht="19.5" customHeight="1">
      <c r="A169" s="366" t="s">
        <v>107</v>
      </c>
      <c r="B169" s="366" t="s">
        <v>107</v>
      </c>
      <c r="C169" s="366" t="s">
        <v>31</v>
      </c>
      <c r="D169" s="308" t="s">
        <v>30</v>
      </c>
      <c r="E169" s="366" t="s">
        <v>166</v>
      </c>
      <c r="F169" s="366" t="s">
        <v>167</v>
      </c>
      <c r="G169" s="366" t="s">
        <v>168</v>
      </c>
      <c r="H169" s="149" t="s">
        <v>13</v>
      </c>
      <c r="I169" s="366" t="s">
        <v>111</v>
      </c>
      <c r="J169" s="366"/>
      <c r="K169" s="366"/>
      <c r="L169" s="366"/>
      <c r="M169" s="366"/>
      <c r="N169" s="366"/>
      <c r="O169" s="366"/>
      <c r="P169" s="157"/>
    </row>
    <row r="170" spans="1:16" ht="25.5" customHeight="1">
      <c r="A170" s="366"/>
      <c r="B170" s="366"/>
      <c r="C170" s="366"/>
      <c r="D170" s="308"/>
      <c r="E170" s="366"/>
      <c r="F170" s="366"/>
      <c r="G170" s="366"/>
      <c r="H170" s="362" t="s">
        <v>489</v>
      </c>
      <c r="I170" s="366" t="s">
        <v>112</v>
      </c>
      <c r="J170" s="366"/>
      <c r="K170" s="366"/>
      <c r="L170" s="366" t="s">
        <v>113</v>
      </c>
      <c r="M170" s="366" t="s">
        <v>135</v>
      </c>
      <c r="N170" s="366" t="s">
        <v>114</v>
      </c>
      <c r="O170" s="366"/>
      <c r="P170" s="157"/>
    </row>
    <row r="171" spans="1:16" ht="18.75">
      <c r="A171" s="366"/>
      <c r="B171" s="366"/>
      <c r="C171" s="366"/>
      <c r="D171" s="308"/>
      <c r="E171" s="366"/>
      <c r="F171" s="366"/>
      <c r="G171" s="366"/>
      <c r="H171" s="363"/>
      <c r="I171" s="366" t="s">
        <v>96</v>
      </c>
      <c r="J171" s="366" t="s">
        <v>349</v>
      </c>
      <c r="K171" s="366" t="s">
        <v>350</v>
      </c>
      <c r="L171" s="366"/>
      <c r="M171" s="366"/>
      <c r="N171" s="366"/>
      <c r="O171" s="366"/>
      <c r="P171" s="157"/>
    </row>
    <row r="172" spans="1:16" ht="65.25" customHeight="1">
      <c r="A172" s="366"/>
      <c r="B172" s="366"/>
      <c r="C172" s="366"/>
      <c r="D172" s="308"/>
      <c r="E172" s="366"/>
      <c r="F172" s="366"/>
      <c r="G172" s="366"/>
      <c r="H172" s="363"/>
      <c r="I172" s="366"/>
      <c r="J172" s="366"/>
      <c r="K172" s="366"/>
      <c r="L172" s="366"/>
      <c r="M172" s="366"/>
      <c r="N172" s="149" t="s">
        <v>96</v>
      </c>
      <c r="O172" s="149" t="s">
        <v>351</v>
      </c>
      <c r="P172" s="157"/>
    </row>
    <row r="173" spans="1:16" ht="18.75">
      <c r="A173" s="149">
        <v>1</v>
      </c>
      <c r="B173" s="149">
        <v>1</v>
      </c>
      <c r="C173" s="149">
        <v>2</v>
      </c>
      <c r="D173" s="72">
        <v>3</v>
      </c>
      <c r="E173" s="149">
        <v>4</v>
      </c>
      <c r="F173" s="149">
        <v>5</v>
      </c>
      <c r="G173" s="149">
        <v>6</v>
      </c>
      <c r="H173" s="149">
        <v>7</v>
      </c>
      <c r="I173" s="149">
        <v>8</v>
      </c>
      <c r="J173" s="149">
        <v>9</v>
      </c>
      <c r="K173" s="149">
        <v>10</v>
      </c>
      <c r="L173" s="149">
        <v>11</v>
      </c>
      <c r="M173" s="149">
        <v>12</v>
      </c>
      <c r="N173" s="149">
        <v>13</v>
      </c>
      <c r="O173" s="149">
        <v>14</v>
      </c>
      <c r="P173" s="157"/>
    </row>
    <row r="174" spans="1:16" ht="32.25" thickBot="1">
      <c r="A174" s="149">
        <v>244</v>
      </c>
      <c r="B174" s="149">
        <v>244</v>
      </c>
      <c r="C174" s="150" t="s">
        <v>58</v>
      </c>
      <c r="D174" s="179" t="s">
        <v>169</v>
      </c>
      <c r="E174" s="153">
        <v>1</v>
      </c>
      <c r="F174" s="153">
        <v>12</v>
      </c>
      <c r="G174" s="153">
        <f>H174/F174</f>
        <v>300</v>
      </c>
      <c r="H174" s="153">
        <v>3600</v>
      </c>
      <c r="I174" s="166">
        <f>H174</f>
        <v>3600</v>
      </c>
      <c r="J174" s="166">
        <f>H174</f>
        <v>3600</v>
      </c>
      <c r="K174" s="149"/>
      <c r="L174" s="149"/>
      <c r="M174" s="149"/>
      <c r="N174" s="149"/>
      <c r="O174" s="149"/>
      <c r="P174" s="157"/>
    </row>
    <row r="175" spans="1:16" ht="18.75" customHeight="1" thickBot="1">
      <c r="A175" s="149">
        <v>244</v>
      </c>
      <c r="B175" s="149">
        <v>244</v>
      </c>
      <c r="C175" s="150" t="s">
        <v>262</v>
      </c>
      <c r="D175" s="179" t="s">
        <v>170</v>
      </c>
      <c r="E175" s="153">
        <v>1</v>
      </c>
      <c r="F175" s="153">
        <v>12</v>
      </c>
      <c r="G175" s="153">
        <f>H175/F175</f>
        <v>13444.673333333334</v>
      </c>
      <c r="H175" s="153">
        <f>31500+5000+234500-22697.5-117666.42+30700</f>
        <v>161336.08000000002</v>
      </c>
      <c r="I175" s="166">
        <f>H175</f>
        <v>161336.08000000002</v>
      </c>
      <c r="J175" s="166">
        <f>H175</f>
        <v>161336.08000000002</v>
      </c>
      <c r="K175" s="149"/>
      <c r="L175" s="149"/>
      <c r="M175" s="149"/>
      <c r="N175" s="149"/>
      <c r="O175" s="149"/>
      <c r="P175" s="157"/>
    </row>
    <row r="176" spans="1:16" ht="18.75">
      <c r="A176" s="149"/>
      <c r="B176" s="149"/>
      <c r="C176" s="150"/>
      <c r="D176" s="151"/>
      <c r="E176" s="153"/>
      <c r="F176" s="153"/>
      <c r="G176" s="153"/>
      <c r="H176" s="153"/>
      <c r="I176" s="166"/>
      <c r="J176" s="166"/>
      <c r="K176" s="149"/>
      <c r="L176" s="149"/>
      <c r="M176" s="149"/>
      <c r="N176" s="149"/>
      <c r="O176" s="149"/>
      <c r="P176" s="157"/>
    </row>
    <row r="177" spans="1:16" ht="18.75">
      <c r="A177" s="149" t="s">
        <v>203</v>
      </c>
      <c r="B177" s="149" t="s">
        <v>203</v>
      </c>
      <c r="C177" s="149" t="s">
        <v>203</v>
      </c>
      <c r="D177" s="151" t="s">
        <v>29</v>
      </c>
      <c r="E177" s="149" t="s">
        <v>16</v>
      </c>
      <c r="F177" s="149" t="s">
        <v>16</v>
      </c>
      <c r="G177" s="149" t="s">
        <v>16</v>
      </c>
      <c r="H177" s="153">
        <f>H174+H175</f>
        <v>164936.08000000002</v>
      </c>
      <c r="I177" s="153">
        <f>I174+I175</f>
        <v>164936.08000000002</v>
      </c>
      <c r="J177" s="153">
        <f>J174+J175</f>
        <v>164936.08000000002</v>
      </c>
      <c r="K177" s="153"/>
      <c r="L177" s="153"/>
      <c r="M177" s="153"/>
      <c r="N177" s="153"/>
      <c r="O177" s="153"/>
      <c r="P177" s="157"/>
    </row>
    <row r="178" spans="1:16" ht="18.75">
      <c r="A178" s="156">
        <f>'Раздел 1'!D66-H177</f>
        <v>0</v>
      </c>
      <c r="B178" s="156"/>
      <c r="C178" s="157"/>
      <c r="E178" s="157"/>
      <c r="F178" s="157"/>
      <c r="G178" s="157"/>
      <c r="H178" s="180"/>
      <c r="I178" s="157"/>
      <c r="J178" s="157"/>
      <c r="K178" s="157"/>
      <c r="L178" s="157"/>
      <c r="M178" s="157"/>
      <c r="N178" s="157"/>
      <c r="O178" s="157"/>
      <c r="P178" s="157"/>
    </row>
    <row r="179" spans="2:16" ht="18.75">
      <c r="B179" s="374" t="s">
        <v>171</v>
      </c>
      <c r="C179" s="374"/>
      <c r="D179" s="374"/>
      <c r="E179" s="374"/>
      <c r="F179" s="374"/>
      <c r="G179" s="374"/>
      <c r="H179" s="374"/>
      <c r="I179" s="374"/>
      <c r="J179" s="374"/>
      <c r="K179" s="374"/>
      <c r="L179" s="374"/>
      <c r="M179" s="374"/>
      <c r="N179" s="374"/>
      <c r="O179" s="374"/>
      <c r="P179" s="374"/>
    </row>
    <row r="180" spans="1:16" ht="18.75">
      <c r="A180" s="158"/>
      <c r="B180" s="158"/>
      <c r="C180" s="157"/>
      <c r="E180" s="157"/>
      <c r="F180" s="157"/>
      <c r="G180" s="157"/>
      <c r="H180" s="157"/>
      <c r="I180" s="157"/>
      <c r="J180" s="157"/>
      <c r="K180" s="157"/>
      <c r="L180" s="157"/>
      <c r="M180" s="157"/>
      <c r="N180" s="157"/>
      <c r="O180" s="157"/>
      <c r="P180" s="157"/>
    </row>
    <row r="181" spans="1:16" ht="19.5" customHeight="1">
      <c r="A181" s="366" t="s">
        <v>107</v>
      </c>
      <c r="B181" s="366" t="s">
        <v>107</v>
      </c>
      <c r="C181" s="366" t="s">
        <v>31</v>
      </c>
      <c r="D181" s="308" t="s">
        <v>8</v>
      </c>
      <c r="E181" s="366" t="s">
        <v>172</v>
      </c>
      <c r="F181" s="366" t="s">
        <v>173</v>
      </c>
      <c r="G181" s="149" t="s">
        <v>174</v>
      </c>
      <c r="H181" s="366" t="s">
        <v>175</v>
      </c>
      <c r="I181" s="366" t="s">
        <v>490</v>
      </c>
      <c r="J181" s="366" t="s">
        <v>111</v>
      </c>
      <c r="K181" s="366"/>
      <c r="L181" s="366"/>
      <c r="M181" s="366"/>
      <c r="N181" s="366"/>
      <c r="O181" s="366"/>
      <c r="P181" s="366"/>
    </row>
    <row r="182" spans="1:16" ht="39.75" customHeight="1">
      <c r="A182" s="366"/>
      <c r="B182" s="366"/>
      <c r="C182" s="366"/>
      <c r="D182" s="308"/>
      <c r="E182" s="366"/>
      <c r="F182" s="366"/>
      <c r="G182" s="362" t="s">
        <v>176</v>
      </c>
      <c r="H182" s="366"/>
      <c r="I182" s="366"/>
      <c r="J182" s="366" t="s">
        <v>112</v>
      </c>
      <c r="K182" s="366"/>
      <c r="L182" s="366"/>
      <c r="M182" s="366" t="s">
        <v>113</v>
      </c>
      <c r="N182" s="366" t="s">
        <v>135</v>
      </c>
      <c r="O182" s="366" t="s">
        <v>114</v>
      </c>
      <c r="P182" s="366"/>
    </row>
    <row r="183" spans="1:16" ht="34.5" customHeight="1">
      <c r="A183" s="366"/>
      <c r="B183" s="366"/>
      <c r="C183" s="366"/>
      <c r="D183" s="308"/>
      <c r="E183" s="366"/>
      <c r="F183" s="366"/>
      <c r="G183" s="363"/>
      <c r="H183" s="366"/>
      <c r="I183" s="366"/>
      <c r="J183" s="366" t="s">
        <v>96</v>
      </c>
      <c r="K183" s="366" t="s">
        <v>349</v>
      </c>
      <c r="L183" s="366" t="s">
        <v>350</v>
      </c>
      <c r="M183" s="366"/>
      <c r="N183" s="366"/>
      <c r="O183" s="366"/>
      <c r="P183" s="366"/>
    </row>
    <row r="184" spans="1:16" ht="108" customHeight="1">
      <c r="A184" s="366"/>
      <c r="B184" s="366"/>
      <c r="C184" s="366"/>
      <c r="D184" s="308"/>
      <c r="E184" s="366"/>
      <c r="F184" s="366"/>
      <c r="G184" s="377"/>
      <c r="H184" s="366"/>
      <c r="I184" s="366"/>
      <c r="J184" s="366"/>
      <c r="K184" s="366"/>
      <c r="L184" s="366"/>
      <c r="M184" s="366"/>
      <c r="N184" s="366"/>
      <c r="O184" s="149" t="s">
        <v>96</v>
      </c>
      <c r="P184" s="149" t="s">
        <v>351</v>
      </c>
    </row>
    <row r="185" spans="1:16" ht="18.75">
      <c r="A185" s="149">
        <v>1</v>
      </c>
      <c r="B185" s="149">
        <v>1</v>
      </c>
      <c r="C185" s="149">
        <v>2</v>
      </c>
      <c r="D185" s="72">
        <v>3</v>
      </c>
      <c r="E185" s="149">
        <v>4</v>
      </c>
      <c r="F185" s="149">
        <v>5</v>
      </c>
      <c r="G185" s="149">
        <v>6</v>
      </c>
      <c r="H185" s="149">
        <v>7</v>
      </c>
      <c r="I185" s="149">
        <v>8</v>
      </c>
      <c r="J185" s="149">
        <v>9</v>
      </c>
      <c r="K185" s="149">
        <v>10</v>
      </c>
      <c r="L185" s="149">
        <v>11</v>
      </c>
      <c r="M185" s="149">
        <v>12</v>
      </c>
      <c r="N185" s="149">
        <v>13</v>
      </c>
      <c r="O185" s="149">
        <v>14</v>
      </c>
      <c r="P185" s="149">
        <v>15</v>
      </c>
    </row>
    <row r="186" spans="1:16" ht="18.75">
      <c r="A186" s="149">
        <v>247</v>
      </c>
      <c r="B186" s="149">
        <v>247</v>
      </c>
      <c r="C186" s="150" t="s">
        <v>58</v>
      </c>
      <c r="D186" s="140" t="s">
        <v>276</v>
      </c>
      <c r="E186" s="181" t="s">
        <v>277</v>
      </c>
      <c r="F186" s="149">
        <f>I186/G186</f>
        <v>134596.819</v>
      </c>
      <c r="G186" s="182">
        <v>10</v>
      </c>
      <c r="H186" s="183"/>
      <c r="I186" s="184">
        <f>J186+O186</f>
        <v>1345968.19</v>
      </c>
      <c r="J186" s="185">
        <f>L186</f>
        <v>995807.19</v>
      </c>
      <c r="K186" s="166"/>
      <c r="L186" s="245">
        <f>990000+5807.19</f>
        <v>995807.19</v>
      </c>
      <c r="M186" s="149"/>
      <c r="N186" s="149"/>
      <c r="O186" s="149">
        <f>351200-1039</f>
        <v>350161</v>
      </c>
      <c r="P186" s="149"/>
    </row>
    <row r="187" spans="1:16" ht="18.75">
      <c r="A187" s="149">
        <v>247</v>
      </c>
      <c r="B187" s="149">
        <v>247</v>
      </c>
      <c r="C187" s="150" t="s">
        <v>262</v>
      </c>
      <c r="D187" s="140" t="s">
        <v>278</v>
      </c>
      <c r="E187" s="181" t="s">
        <v>279</v>
      </c>
      <c r="F187" s="149">
        <f>I187/G187</f>
        <v>396.64851161041383</v>
      </c>
      <c r="G187" s="182">
        <v>2871.56</v>
      </c>
      <c r="H187" s="183"/>
      <c r="I187" s="184">
        <f aca="true" t="shared" si="0" ref="I187:I193">J187</f>
        <v>1139000</v>
      </c>
      <c r="J187" s="185">
        <f aca="true" t="shared" si="1" ref="J187:J193">L187</f>
        <v>1139000</v>
      </c>
      <c r="K187" s="166"/>
      <c r="L187" s="245">
        <v>1139000</v>
      </c>
      <c r="M187" s="149"/>
      <c r="N187" s="149"/>
      <c r="O187" s="149"/>
      <c r="P187" s="149"/>
    </row>
    <row r="188" spans="1:16" ht="18.75">
      <c r="A188" s="149">
        <v>247</v>
      </c>
      <c r="B188" s="149">
        <v>247</v>
      </c>
      <c r="C188" s="150" t="s">
        <v>352</v>
      </c>
      <c r="D188" s="140" t="s">
        <v>280</v>
      </c>
      <c r="E188" s="181" t="s">
        <v>281</v>
      </c>
      <c r="F188" s="149">
        <f>I188/G188</f>
        <v>0</v>
      </c>
      <c r="G188" s="182">
        <v>2871.56</v>
      </c>
      <c r="H188" s="183"/>
      <c r="I188" s="184">
        <f t="shared" si="0"/>
        <v>0</v>
      </c>
      <c r="J188" s="185">
        <f t="shared" si="1"/>
        <v>0</v>
      </c>
      <c r="K188" s="166"/>
      <c r="L188" s="245"/>
      <c r="M188" s="149"/>
      <c r="N188" s="149"/>
      <c r="O188" s="149"/>
      <c r="P188" s="149"/>
    </row>
    <row r="189" spans="1:16" ht="18.75">
      <c r="A189" s="149">
        <v>244</v>
      </c>
      <c r="B189" s="149">
        <v>244</v>
      </c>
      <c r="C189" s="150" t="s">
        <v>353</v>
      </c>
      <c r="D189" s="140" t="s">
        <v>282</v>
      </c>
      <c r="E189" s="181" t="s">
        <v>283</v>
      </c>
      <c r="F189" s="149">
        <f>I189/G189</f>
        <v>5120.828538550058</v>
      </c>
      <c r="G189" s="182">
        <v>34.76</v>
      </c>
      <c r="H189" s="183"/>
      <c r="I189" s="184">
        <f t="shared" si="0"/>
        <v>178000</v>
      </c>
      <c r="J189" s="185">
        <f t="shared" si="1"/>
        <v>178000</v>
      </c>
      <c r="K189" s="166"/>
      <c r="L189" s="245">
        <v>178000</v>
      </c>
      <c r="M189" s="149"/>
      <c r="N189" s="149"/>
      <c r="O189" s="149"/>
      <c r="P189" s="149"/>
    </row>
    <row r="190" spans="1:16" ht="31.5">
      <c r="A190" s="149">
        <v>247</v>
      </c>
      <c r="B190" s="149">
        <v>247</v>
      </c>
      <c r="C190" s="150" t="s">
        <v>395</v>
      </c>
      <c r="D190" s="140" t="s">
        <v>284</v>
      </c>
      <c r="E190" s="181" t="s">
        <v>285</v>
      </c>
      <c r="F190" s="149">
        <f>I190/G190</f>
        <v>0</v>
      </c>
      <c r="G190" s="182">
        <v>34.76</v>
      </c>
      <c r="H190" s="183"/>
      <c r="I190" s="184">
        <f t="shared" si="0"/>
        <v>0</v>
      </c>
      <c r="J190" s="185">
        <f t="shared" si="1"/>
        <v>0</v>
      </c>
      <c r="K190" s="166"/>
      <c r="L190" s="245"/>
      <c r="M190" s="149"/>
      <c r="N190" s="149"/>
      <c r="O190" s="149"/>
      <c r="P190" s="149"/>
    </row>
    <row r="191" spans="1:16" ht="18.75">
      <c r="A191" s="149">
        <v>244</v>
      </c>
      <c r="B191" s="149">
        <v>244</v>
      </c>
      <c r="C191" s="150" t="s">
        <v>404</v>
      </c>
      <c r="D191" s="140" t="s">
        <v>286</v>
      </c>
      <c r="E191" s="181" t="s">
        <v>283</v>
      </c>
      <c r="F191" s="149"/>
      <c r="G191" s="182"/>
      <c r="H191" s="183"/>
      <c r="I191" s="184">
        <f t="shared" si="0"/>
        <v>0</v>
      </c>
      <c r="J191" s="185">
        <f t="shared" si="1"/>
        <v>0</v>
      </c>
      <c r="K191" s="166"/>
      <c r="L191" s="170">
        <f>21400-21400</f>
        <v>0</v>
      </c>
      <c r="M191" s="149"/>
      <c r="N191" s="149"/>
      <c r="O191" s="149"/>
      <c r="P191" s="149"/>
    </row>
    <row r="192" spans="1:16" ht="17.25" customHeight="1">
      <c r="A192" s="149">
        <v>244</v>
      </c>
      <c r="B192" s="149">
        <v>244</v>
      </c>
      <c r="C192" s="150" t="s">
        <v>405</v>
      </c>
      <c r="D192" s="140" t="s">
        <v>324</v>
      </c>
      <c r="E192" s="181" t="s">
        <v>288</v>
      </c>
      <c r="F192" s="149">
        <v>12</v>
      </c>
      <c r="G192" s="186">
        <f>I192/F192</f>
        <v>0</v>
      </c>
      <c r="H192" s="183"/>
      <c r="I192" s="184">
        <f t="shared" si="0"/>
        <v>0</v>
      </c>
      <c r="J192" s="185">
        <f t="shared" si="1"/>
        <v>0</v>
      </c>
      <c r="K192" s="166"/>
      <c r="L192" s="170"/>
      <c r="M192" s="149"/>
      <c r="N192" s="149"/>
      <c r="O192" s="149"/>
      <c r="P192" s="149"/>
    </row>
    <row r="193" spans="1:16" ht="17.25" customHeight="1">
      <c r="A193" s="149">
        <v>244</v>
      </c>
      <c r="B193" s="149">
        <v>244</v>
      </c>
      <c r="C193" s="150" t="s">
        <v>406</v>
      </c>
      <c r="D193" s="140" t="s">
        <v>287</v>
      </c>
      <c r="E193" s="152" t="s">
        <v>288</v>
      </c>
      <c r="F193" s="149">
        <v>12</v>
      </c>
      <c r="G193" s="186">
        <f>I193/F193</f>
        <v>9250</v>
      </c>
      <c r="H193" s="149"/>
      <c r="I193" s="184">
        <f t="shared" si="0"/>
        <v>111000</v>
      </c>
      <c r="J193" s="185">
        <f t="shared" si="1"/>
        <v>111000</v>
      </c>
      <c r="K193" s="166"/>
      <c r="L193" s="170">
        <v>111000</v>
      </c>
      <c r="M193" s="149"/>
      <c r="N193" s="149"/>
      <c r="O193" s="149"/>
      <c r="P193" s="149"/>
    </row>
    <row r="194" spans="1:16" ht="18.75">
      <c r="A194" s="149" t="s">
        <v>203</v>
      </c>
      <c r="B194" s="149" t="s">
        <v>203</v>
      </c>
      <c r="C194" s="149" t="s">
        <v>203</v>
      </c>
      <c r="D194" s="188" t="s">
        <v>29</v>
      </c>
      <c r="E194" s="189" t="s">
        <v>203</v>
      </c>
      <c r="F194" s="189" t="s">
        <v>16</v>
      </c>
      <c r="G194" s="189" t="s">
        <v>16</v>
      </c>
      <c r="H194" s="189" t="s">
        <v>16</v>
      </c>
      <c r="I194" s="190">
        <f>SUM(I186:I193)</f>
        <v>2773968.19</v>
      </c>
      <c r="J194" s="164">
        <f>L194</f>
        <v>2423807.19</v>
      </c>
      <c r="K194" s="153">
        <f>K186+K187</f>
        <v>0</v>
      </c>
      <c r="L194" s="164">
        <f>SUM(L186:L193)</f>
        <v>2423807.19</v>
      </c>
      <c r="M194" s="153"/>
      <c r="N194" s="153"/>
      <c r="O194" s="153">
        <f>O186</f>
        <v>350161</v>
      </c>
      <c r="P194" s="153"/>
    </row>
    <row r="195" spans="1:16" ht="18.75">
      <c r="A195" s="156">
        <f>'Раздел 1'!D68-I189-I191-I192-I193</f>
        <v>0</v>
      </c>
      <c r="B195" s="156"/>
      <c r="C195" s="161"/>
      <c r="E195" s="157"/>
      <c r="F195" s="157"/>
      <c r="G195" s="157"/>
      <c r="H195" s="157"/>
      <c r="I195" s="161"/>
      <c r="J195" s="157"/>
      <c r="K195" s="157"/>
      <c r="L195" s="157"/>
      <c r="M195" s="157"/>
      <c r="N195" s="157"/>
      <c r="O195" s="157"/>
      <c r="P195" s="157"/>
    </row>
    <row r="196" spans="1:16" ht="18.75">
      <c r="A196" s="161">
        <f>'Раздел 1'!D84-I186-I187-I188-I190</f>
        <v>0</v>
      </c>
      <c r="B196" s="374" t="s">
        <v>177</v>
      </c>
      <c r="C196" s="374"/>
      <c r="D196" s="374"/>
      <c r="E196" s="374"/>
      <c r="F196" s="374"/>
      <c r="G196" s="374"/>
      <c r="H196" s="374"/>
      <c r="I196" s="374"/>
      <c r="J196" s="374"/>
      <c r="K196" s="374"/>
      <c r="L196" s="374"/>
      <c r="M196" s="374"/>
      <c r="N196" s="374"/>
      <c r="O196" s="157"/>
      <c r="P196" s="157"/>
    </row>
    <row r="197" spans="1:16" ht="18.75">
      <c r="A197" s="158"/>
      <c r="B197" s="158"/>
      <c r="C197" s="157"/>
      <c r="E197" s="157"/>
      <c r="F197" s="157"/>
      <c r="G197" s="157"/>
      <c r="H197" s="157"/>
      <c r="I197" s="157"/>
      <c r="J197" s="157"/>
      <c r="K197" s="157"/>
      <c r="L197" s="157"/>
      <c r="M197" s="157"/>
      <c r="N197" s="157"/>
      <c r="O197" s="157"/>
      <c r="P197" s="157"/>
    </row>
    <row r="198" spans="1:16" ht="19.5" customHeight="1" hidden="1">
      <c r="A198" s="366" t="s">
        <v>107</v>
      </c>
      <c r="B198" s="366" t="s">
        <v>107</v>
      </c>
      <c r="C198" s="366" t="s">
        <v>31</v>
      </c>
      <c r="D198" s="308" t="s">
        <v>8</v>
      </c>
      <c r="E198" s="366" t="s">
        <v>178</v>
      </c>
      <c r="F198" s="366" t="s">
        <v>179</v>
      </c>
      <c r="G198" s="149" t="s">
        <v>180</v>
      </c>
      <c r="H198" s="366" t="s">
        <v>111</v>
      </c>
      <c r="I198" s="366"/>
      <c r="J198" s="366"/>
      <c r="K198" s="366"/>
      <c r="L198" s="366"/>
      <c r="M198" s="366"/>
      <c r="N198" s="366"/>
      <c r="O198" s="157"/>
      <c r="P198" s="157"/>
    </row>
    <row r="199" spans="1:16" ht="57" customHeight="1" hidden="1">
      <c r="A199" s="366"/>
      <c r="B199" s="366"/>
      <c r="C199" s="366"/>
      <c r="D199" s="308"/>
      <c r="E199" s="366"/>
      <c r="F199" s="366"/>
      <c r="G199" s="362" t="s">
        <v>491</v>
      </c>
      <c r="H199" s="366" t="s">
        <v>112</v>
      </c>
      <c r="I199" s="366"/>
      <c r="J199" s="366"/>
      <c r="K199" s="366" t="s">
        <v>113</v>
      </c>
      <c r="L199" s="366" t="s">
        <v>135</v>
      </c>
      <c r="M199" s="366" t="s">
        <v>114</v>
      </c>
      <c r="N199" s="366"/>
      <c r="O199" s="157"/>
      <c r="P199" s="157"/>
    </row>
    <row r="200" spans="1:16" ht="34.5" customHeight="1" hidden="1">
      <c r="A200" s="366"/>
      <c r="B200" s="366"/>
      <c r="C200" s="366"/>
      <c r="D200" s="308"/>
      <c r="E200" s="366"/>
      <c r="F200" s="366"/>
      <c r="G200" s="363"/>
      <c r="H200" s="366" t="s">
        <v>96</v>
      </c>
      <c r="I200" s="366" t="s">
        <v>349</v>
      </c>
      <c r="J200" s="366" t="s">
        <v>350</v>
      </c>
      <c r="K200" s="366"/>
      <c r="L200" s="366"/>
      <c r="M200" s="366"/>
      <c r="N200" s="366"/>
      <c r="O200" s="157"/>
      <c r="P200" s="157"/>
    </row>
    <row r="201" spans="1:16" ht="58.5" customHeight="1" hidden="1">
      <c r="A201" s="366"/>
      <c r="B201" s="366"/>
      <c r="C201" s="366"/>
      <c r="D201" s="308"/>
      <c r="E201" s="366"/>
      <c r="F201" s="366"/>
      <c r="G201" s="377"/>
      <c r="H201" s="366"/>
      <c r="I201" s="366"/>
      <c r="J201" s="366"/>
      <c r="K201" s="366"/>
      <c r="L201" s="366"/>
      <c r="M201" s="149" t="s">
        <v>96</v>
      </c>
      <c r="N201" s="149" t="s">
        <v>351</v>
      </c>
      <c r="O201" s="157"/>
      <c r="P201" s="157"/>
    </row>
    <row r="202" spans="1:16" ht="18.75" hidden="1">
      <c r="A202" s="149">
        <v>1</v>
      </c>
      <c r="B202" s="149">
        <v>1</v>
      </c>
      <c r="C202" s="149">
        <v>2</v>
      </c>
      <c r="D202" s="72">
        <v>3</v>
      </c>
      <c r="E202" s="149">
        <v>4</v>
      </c>
      <c r="F202" s="149">
        <v>5</v>
      </c>
      <c r="G202" s="149">
        <v>6</v>
      </c>
      <c r="H202" s="149">
        <v>7</v>
      </c>
      <c r="I202" s="149">
        <v>8</v>
      </c>
      <c r="J202" s="149">
        <v>9</v>
      </c>
      <c r="K202" s="149">
        <v>10</v>
      </c>
      <c r="L202" s="149">
        <v>11</v>
      </c>
      <c r="M202" s="149">
        <v>12</v>
      </c>
      <c r="N202" s="149">
        <v>13</v>
      </c>
      <c r="O202" s="157"/>
      <c r="P202" s="157"/>
    </row>
    <row r="203" spans="1:16" ht="18.75" hidden="1">
      <c r="A203" s="153"/>
      <c r="B203" s="153"/>
      <c r="C203" s="150" t="s">
        <v>58</v>
      </c>
      <c r="D203" s="151" t="s">
        <v>181</v>
      </c>
      <c r="E203" s="149" t="s">
        <v>16</v>
      </c>
      <c r="F203" s="149" t="s">
        <v>16</v>
      </c>
      <c r="G203" s="149" t="s">
        <v>203</v>
      </c>
      <c r="H203" s="149"/>
      <c r="I203" s="149"/>
      <c r="J203" s="149"/>
      <c r="K203" s="149"/>
      <c r="L203" s="149"/>
      <c r="M203" s="149"/>
      <c r="N203" s="149"/>
      <c r="O203" s="157"/>
      <c r="P203" s="157"/>
    </row>
    <row r="204" spans="1:16" ht="18" customHeight="1" hidden="1">
      <c r="A204" s="153"/>
      <c r="B204" s="153"/>
      <c r="C204" s="159" t="s">
        <v>124</v>
      </c>
      <c r="D204" s="160" t="s">
        <v>385</v>
      </c>
      <c r="E204" s="149" t="s">
        <v>16</v>
      </c>
      <c r="F204" s="149" t="s">
        <v>16</v>
      </c>
      <c r="G204" s="149" t="s">
        <v>16</v>
      </c>
      <c r="H204" s="149"/>
      <c r="I204" s="149"/>
      <c r="J204" s="149"/>
      <c r="K204" s="149"/>
      <c r="L204" s="149"/>
      <c r="M204" s="149"/>
      <c r="N204" s="149"/>
      <c r="O204" s="157"/>
      <c r="P204" s="157"/>
    </row>
    <row r="205" spans="1:16" ht="18" customHeight="1" hidden="1">
      <c r="A205" s="153"/>
      <c r="B205" s="153"/>
      <c r="C205" s="171" t="s">
        <v>146</v>
      </c>
      <c r="D205" s="35"/>
      <c r="E205" s="149"/>
      <c r="F205" s="149"/>
      <c r="G205" s="149"/>
      <c r="H205" s="149"/>
      <c r="I205" s="149"/>
      <c r="J205" s="149"/>
      <c r="K205" s="149"/>
      <c r="L205" s="149"/>
      <c r="M205" s="149"/>
      <c r="N205" s="149"/>
      <c r="O205" s="157"/>
      <c r="P205" s="157"/>
    </row>
    <row r="206" spans="1:16" ht="18" customHeight="1" hidden="1">
      <c r="A206" s="153"/>
      <c r="B206" s="153"/>
      <c r="C206" s="159"/>
      <c r="D206" s="160"/>
      <c r="E206" s="153"/>
      <c r="F206" s="153"/>
      <c r="G206" s="153"/>
      <c r="H206" s="149"/>
      <c r="I206" s="149"/>
      <c r="J206" s="149"/>
      <c r="K206" s="149"/>
      <c r="L206" s="149"/>
      <c r="M206" s="149"/>
      <c r="N206" s="149"/>
      <c r="O206" s="157"/>
      <c r="P206" s="157"/>
    </row>
    <row r="207" spans="1:16" ht="15.75" customHeight="1" hidden="1">
      <c r="A207" s="153"/>
      <c r="B207" s="153"/>
      <c r="C207" s="150" t="s">
        <v>262</v>
      </c>
      <c r="D207" s="151" t="s">
        <v>182</v>
      </c>
      <c r="E207" s="149" t="s">
        <v>16</v>
      </c>
      <c r="F207" s="149" t="s">
        <v>16</v>
      </c>
      <c r="G207" s="149" t="s">
        <v>203</v>
      </c>
      <c r="H207" s="149"/>
      <c r="I207" s="149"/>
      <c r="J207" s="149"/>
      <c r="K207" s="149"/>
      <c r="L207" s="149"/>
      <c r="M207" s="149"/>
      <c r="N207" s="149"/>
      <c r="O207" s="157"/>
      <c r="P207" s="157"/>
    </row>
    <row r="208" spans="1:16" ht="15.75" customHeight="1" hidden="1">
      <c r="A208" s="153"/>
      <c r="B208" s="153"/>
      <c r="C208" s="159" t="s">
        <v>136</v>
      </c>
      <c r="D208" s="160" t="s">
        <v>385</v>
      </c>
      <c r="E208" s="149" t="s">
        <v>16</v>
      </c>
      <c r="F208" s="149" t="s">
        <v>16</v>
      </c>
      <c r="G208" s="149" t="s">
        <v>16</v>
      </c>
      <c r="H208" s="149"/>
      <c r="I208" s="149"/>
      <c r="J208" s="149"/>
      <c r="K208" s="149"/>
      <c r="L208" s="149"/>
      <c r="M208" s="149"/>
      <c r="N208" s="149"/>
      <c r="O208" s="157"/>
      <c r="P208" s="157"/>
    </row>
    <row r="209" spans="1:16" ht="15.75" customHeight="1" hidden="1">
      <c r="A209" s="153"/>
      <c r="B209" s="153"/>
      <c r="C209" s="171" t="s">
        <v>380</v>
      </c>
      <c r="D209" s="35"/>
      <c r="E209" s="153"/>
      <c r="F209" s="153"/>
      <c r="G209" s="153"/>
      <c r="H209" s="149"/>
      <c r="I209" s="149"/>
      <c r="J209" s="149"/>
      <c r="K209" s="149"/>
      <c r="L209" s="149"/>
      <c r="M209" s="149"/>
      <c r="N209" s="149"/>
      <c r="O209" s="157"/>
      <c r="P209" s="157"/>
    </row>
    <row r="210" spans="1:16" ht="15.75" customHeight="1" hidden="1">
      <c r="A210" s="153"/>
      <c r="B210" s="153"/>
      <c r="C210" s="171"/>
      <c r="D210" s="35"/>
      <c r="E210" s="153"/>
      <c r="F210" s="153"/>
      <c r="G210" s="153"/>
      <c r="H210" s="149"/>
      <c r="I210" s="149"/>
      <c r="J210" s="149"/>
      <c r="K210" s="149"/>
      <c r="L210" s="149"/>
      <c r="M210" s="149"/>
      <c r="N210" s="149"/>
      <c r="O210" s="157"/>
      <c r="P210" s="157"/>
    </row>
    <row r="211" spans="1:16" ht="18.75" hidden="1">
      <c r="A211" s="149" t="s">
        <v>203</v>
      </c>
      <c r="B211" s="149" t="s">
        <v>203</v>
      </c>
      <c r="C211" s="149" t="s">
        <v>203</v>
      </c>
      <c r="D211" s="151" t="s">
        <v>29</v>
      </c>
      <c r="E211" s="149" t="s">
        <v>16</v>
      </c>
      <c r="F211" s="149" t="s">
        <v>16</v>
      </c>
      <c r="G211" s="153"/>
      <c r="H211" s="153"/>
      <c r="I211" s="153"/>
      <c r="J211" s="149"/>
      <c r="K211" s="153"/>
      <c r="L211" s="153"/>
      <c r="M211" s="153"/>
      <c r="N211" s="153"/>
      <c r="O211" s="157"/>
      <c r="P211" s="157"/>
    </row>
    <row r="212" spans="1:16" ht="18.75">
      <c r="A212" s="158"/>
      <c r="B212" s="158"/>
      <c r="C212" s="157"/>
      <c r="E212" s="157"/>
      <c r="F212" s="157"/>
      <c r="G212" s="157"/>
      <c r="H212" s="157"/>
      <c r="I212" s="157"/>
      <c r="J212" s="157"/>
      <c r="K212" s="157"/>
      <c r="L212" s="157"/>
      <c r="M212" s="157"/>
      <c r="N212" s="157"/>
      <c r="O212" s="157"/>
      <c r="P212" s="157"/>
    </row>
    <row r="213" spans="2:16" ht="18.75">
      <c r="B213" s="374" t="s">
        <v>183</v>
      </c>
      <c r="C213" s="374"/>
      <c r="D213" s="374"/>
      <c r="E213" s="374"/>
      <c r="F213" s="374"/>
      <c r="G213" s="374"/>
      <c r="H213" s="374"/>
      <c r="I213" s="374"/>
      <c r="J213" s="374"/>
      <c r="K213" s="374"/>
      <c r="L213" s="374"/>
      <c r="M213" s="374"/>
      <c r="N213" s="374"/>
      <c r="O213" s="157"/>
      <c r="P213" s="157"/>
    </row>
    <row r="214" spans="1:16" ht="18.75">
      <c r="A214" s="158"/>
      <c r="B214" s="158"/>
      <c r="C214" s="157"/>
      <c r="E214" s="157"/>
      <c r="F214" s="157"/>
      <c r="G214" s="157"/>
      <c r="H214" s="157"/>
      <c r="I214" s="157"/>
      <c r="J214" s="157"/>
      <c r="K214" s="157"/>
      <c r="L214" s="157"/>
      <c r="M214" s="157"/>
      <c r="N214" s="157"/>
      <c r="O214" s="157"/>
      <c r="P214" s="157"/>
    </row>
    <row r="215" spans="1:16" ht="19.5" customHeight="1">
      <c r="A215" s="366" t="s">
        <v>107</v>
      </c>
      <c r="B215" s="366" t="s">
        <v>107</v>
      </c>
      <c r="C215" s="366" t="s">
        <v>31</v>
      </c>
      <c r="D215" s="308" t="s">
        <v>30</v>
      </c>
      <c r="E215" s="366" t="s">
        <v>184</v>
      </c>
      <c r="F215" s="366" t="s">
        <v>185</v>
      </c>
      <c r="G215" s="366" t="s">
        <v>492</v>
      </c>
      <c r="H215" s="366" t="s">
        <v>111</v>
      </c>
      <c r="I215" s="366"/>
      <c r="J215" s="366"/>
      <c r="K215" s="366"/>
      <c r="L215" s="366"/>
      <c r="M215" s="366"/>
      <c r="N215" s="366"/>
      <c r="O215" s="157"/>
      <c r="P215" s="157"/>
    </row>
    <row r="216" spans="1:16" ht="81" customHeight="1">
      <c r="A216" s="366"/>
      <c r="B216" s="366"/>
      <c r="C216" s="366"/>
      <c r="D216" s="308"/>
      <c r="E216" s="366"/>
      <c r="F216" s="366"/>
      <c r="G216" s="366"/>
      <c r="H216" s="366" t="s">
        <v>112</v>
      </c>
      <c r="I216" s="366"/>
      <c r="J216" s="366"/>
      <c r="K216" s="366" t="s">
        <v>113</v>
      </c>
      <c r="L216" s="366" t="s">
        <v>135</v>
      </c>
      <c r="M216" s="366" t="s">
        <v>114</v>
      </c>
      <c r="N216" s="366"/>
      <c r="O216" s="157"/>
      <c r="P216" s="157"/>
    </row>
    <row r="217" spans="1:16" ht="22.5" customHeight="1">
      <c r="A217" s="366"/>
      <c r="B217" s="366"/>
      <c r="C217" s="366"/>
      <c r="D217" s="308"/>
      <c r="E217" s="366"/>
      <c r="F217" s="366"/>
      <c r="G217" s="366"/>
      <c r="H217" s="366" t="s">
        <v>96</v>
      </c>
      <c r="I217" s="366" t="s">
        <v>349</v>
      </c>
      <c r="J217" s="366" t="s">
        <v>350</v>
      </c>
      <c r="K217" s="366"/>
      <c r="L217" s="366"/>
      <c r="M217" s="366"/>
      <c r="N217" s="366"/>
      <c r="O217" s="157"/>
      <c r="P217" s="157"/>
    </row>
    <row r="218" spans="1:16" ht="19.5" customHeight="1">
      <c r="A218" s="366"/>
      <c r="B218" s="366"/>
      <c r="C218" s="366"/>
      <c r="D218" s="308"/>
      <c r="E218" s="366"/>
      <c r="F218" s="366"/>
      <c r="G218" s="366"/>
      <c r="H218" s="366"/>
      <c r="I218" s="366"/>
      <c r="J218" s="366"/>
      <c r="K218" s="366"/>
      <c r="L218" s="366"/>
      <c r="M218" s="149" t="s">
        <v>96</v>
      </c>
      <c r="N218" s="149" t="s">
        <v>351</v>
      </c>
      <c r="O218" s="157"/>
      <c r="P218" s="157"/>
    </row>
    <row r="219" spans="1:16" ht="13.5" customHeight="1">
      <c r="A219" s="149">
        <v>1</v>
      </c>
      <c r="B219" s="149">
        <v>1</v>
      </c>
      <c r="C219" s="149">
        <v>2</v>
      </c>
      <c r="D219" s="72">
        <v>3</v>
      </c>
      <c r="E219" s="149">
        <v>4</v>
      </c>
      <c r="F219" s="149">
        <v>5</v>
      </c>
      <c r="G219" s="149">
        <v>6</v>
      </c>
      <c r="H219" s="149">
        <v>7</v>
      </c>
      <c r="I219" s="149">
        <v>8</v>
      </c>
      <c r="J219" s="149">
        <v>9</v>
      </c>
      <c r="K219" s="149">
        <v>10</v>
      </c>
      <c r="L219" s="149">
        <v>11</v>
      </c>
      <c r="M219" s="149">
        <v>12</v>
      </c>
      <c r="N219" s="149">
        <v>13</v>
      </c>
      <c r="O219" s="157"/>
      <c r="P219" s="157"/>
    </row>
    <row r="220" spans="1:16" ht="47.25" customHeight="1">
      <c r="A220" s="153"/>
      <c r="B220" s="153"/>
      <c r="C220" s="150" t="s">
        <v>58</v>
      </c>
      <c r="D220" s="151" t="s">
        <v>390</v>
      </c>
      <c r="E220" s="149" t="s">
        <v>16</v>
      </c>
      <c r="F220" s="149" t="s">
        <v>16</v>
      </c>
      <c r="G220" s="153">
        <f>SUM(G221:G222)</f>
        <v>0</v>
      </c>
      <c r="H220" s="153">
        <f>SUM(H221:H222)</f>
        <v>0</v>
      </c>
      <c r="I220" s="153">
        <f>SUM(I221:I222)</f>
        <v>0</v>
      </c>
      <c r="J220" s="153">
        <f>SUM(J221:J222)</f>
        <v>0</v>
      </c>
      <c r="K220" s="153">
        <f>SUM(K221:K222)</f>
        <v>0</v>
      </c>
      <c r="L220" s="149"/>
      <c r="M220" s="149"/>
      <c r="N220" s="149"/>
      <c r="O220" s="157"/>
      <c r="P220" s="157"/>
    </row>
    <row r="221" spans="1:16" ht="18.75">
      <c r="A221" s="153"/>
      <c r="B221" s="153"/>
      <c r="C221" s="159" t="s">
        <v>124</v>
      </c>
      <c r="D221" s="160"/>
      <c r="E221" s="149" t="s">
        <v>203</v>
      </c>
      <c r="F221" s="149" t="s">
        <v>203</v>
      </c>
      <c r="G221" s="153"/>
      <c r="H221" s="149"/>
      <c r="I221" s="149"/>
      <c r="J221" s="149"/>
      <c r="K221" s="149"/>
      <c r="L221" s="149"/>
      <c r="M221" s="149"/>
      <c r="N221" s="149"/>
      <c r="O221" s="157"/>
      <c r="P221" s="157"/>
    </row>
    <row r="222" spans="1:16" ht="18.75">
      <c r="A222" s="153"/>
      <c r="B222" s="153"/>
      <c r="C222" s="171" t="s">
        <v>146</v>
      </c>
      <c r="D222" s="35"/>
      <c r="E222" s="149"/>
      <c r="F222" s="149"/>
      <c r="G222" s="153"/>
      <c r="H222" s="149"/>
      <c r="I222" s="149"/>
      <c r="J222" s="149"/>
      <c r="K222" s="149"/>
      <c r="L222" s="149"/>
      <c r="M222" s="149"/>
      <c r="N222" s="149"/>
      <c r="O222" s="157"/>
      <c r="P222" s="157"/>
    </row>
    <row r="223" spans="1:16" ht="18.75">
      <c r="A223" s="153"/>
      <c r="B223" s="153"/>
      <c r="C223" s="159"/>
      <c r="D223" s="160"/>
      <c r="E223" s="149"/>
      <c r="F223" s="149"/>
      <c r="G223" s="153"/>
      <c r="H223" s="149"/>
      <c r="I223" s="149"/>
      <c r="J223" s="149"/>
      <c r="K223" s="149"/>
      <c r="L223" s="149"/>
      <c r="M223" s="149"/>
      <c r="N223" s="149"/>
      <c r="O223" s="157"/>
      <c r="P223" s="157"/>
    </row>
    <row r="224" spans="1:16" ht="36" customHeight="1">
      <c r="A224" s="153"/>
      <c r="B224" s="153"/>
      <c r="C224" s="150" t="s">
        <v>262</v>
      </c>
      <c r="D224" s="151" t="s">
        <v>391</v>
      </c>
      <c r="E224" s="149" t="s">
        <v>203</v>
      </c>
      <c r="F224" s="149" t="s">
        <v>203</v>
      </c>
      <c r="G224" s="153">
        <f>H224</f>
        <v>161900</v>
      </c>
      <c r="H224" s="153">
        <f>J224</f>
        <v>161900</v>
      </c>
      <c r="I224" s="153">
        <f>SUM(I225:I226)</f>
        <v>0</v>
      </c>
      <c r="J224" s="153">
        <f>SUM(J225:J226)</f>
        <v>161900</v>
      </c>
      <c r="K224" s="153">
        <f>SUM(K225:K226)</f>
        <v>0</v>
      </c>
      <c r="L224" s="149"/>
      <c r="M224" s="149"/>
      <c r="N224" s="149"/>
      <c r="O224" s="157"/>
      <c r="P224" s="157"/>
    </row>
    <row r="225" spans="1:16" ht="15.75" customHeight="1">
      <c r="A225" s="153">
        <v>244</v>
      </c>
      <c r="B225" s="153">
        <v>244</v>
      </c>
      <c r="C225" s="159" t="s">
        <v>136</v>
      </c>
      <c r="D225" s="65" t="s">
        <v>186</v>
      </c>
      <c r="E225" s="153">
        <v>12</v>
      </c>
      <c r="F225" s="191">
        <f>G225/E225</f>
        <v>13491.666666666666</v>
      </c>
      <c r="G225" s="153">
        <f>H225</f>
        <v>161900</v>
      </c>
      <c r="H225" s="166">
        <f>J225</f>
        <v>161900</v>
      </c>
      <c r="I225" s="166"/>
      <c r="J225" s="192">
        <v>161900</v>
      </c>
      <c r="K225" s="149"/>
      <c r="L225" s="149"/>
      <c r="M225" s="149"/>
      <c r="N225" s="149"/>
      <c r="O225" s="157"/>
      <c r="P225" s="157"/>
    </row>
    <row r="226" spans="1:16" ht="15.75" customHeight="1">
      <c r="A226" s="153"/>
      <c r="B226" s="153"/>
      <c r="C226" s="159"/>
      <c r="D226" s="160"/>
      <c r="E226" s="153"/>
      <c r="F226" s="153"/>
      <c r="G226" s="153"/>
      <c r="H226" s="166"/>
      <c r="I226" s="166"/>
      <c r="J226" s="192"/>
      <c r="K226" s="149"/>
      <c r="L226" s="149"/>
      <c r="M226" s="149"/>
      <c r="N226" s="149"/>
      <c r="O226" s="157"/>
      <c r="P226" s="157"/>
    </row>
    <row r="227" spans="1:16" ht="28.5" customHeight="1">
      <c r="A227" s="153"/>
      <c r="B227" s="153"/>
      <c r="C227" s="150" t="s">
        <v>352</v>
      </c>
      <c r="D227" s="151" t="s">
        <v>392</v>
      </c>
      <c r="E227" s="149" t="s">
        <v>16</v>
      </c>
      <c r="F227" s="149" t="s">
        <v>16</v>
      </c>
      <c r="G227" s="153">
        <f>H227</f>
        <v>85500</v>
      </c>
      <c r="H227" s="153">
        <f>SUM(H228:H229)</f>
        <v>85500</v>
      </c>
      <c r="I227" s="153">
        <f>SUM(I228:I229)</f>
        <v>0</v>
      </c>
      <c r="J227" s="153">
        <f>SUM(J228:J229)</f>
        <v>85500</v>
      </c>
      <c r="K227" s="153">
        <f>SUM(K228:K229)</f>
        <v>0</v>
      </c>
      <c r="L227" s="149"/>
      <c r="M227" s="149"/>
      <c r="N227" s="149"/>
      <c r="O227" s="157"/>
      <c r="P227" s="157"/>
    </row>
    <row r="228" spans="1:16" ht="24" customHeight="1">
      <c r="A228" s="153">
        <v>244</v>
      </c>
      <c r="B228" s="153">
        <v>244</v>
      </c>
      <c r="C228" s="159" t="s">
        <v>142</v>
      </c>
      <c r="D228" s="160" t="s">
        <v>407</v>
      </c>
      <c r="E228" s="149">
        <v>12</v>
      </c>
      <c r="F228" s="193">
        <f>G228/E228</f>
        <v>7125</v>
      </c>
      <c r="G228" s="166">
        <f>H228</f>
        <v>85500</v>
      </c>
      <c r="H228" s="166">
        <f>J228</f>
        <v>85500</v>
      </c>
      <c r="I228" s="166"/>
      <c r="J228" s="192">
        <v>85500</v>
      </c>
      <c r="K228" s="149"/>
      <c r="L228" s="149"/>
      <c r="M228" s="149"/>
      <c r="N228" s="149"/>
      <c r="O228" s="157"/>
      <c r="P228" s="157"/>
    </row>
    <row r="229" spans="1:16" ht="33.75" customHeight="1">
      <c r="A229" s="153"/>
      <c r="B229" s="153">
        <v>244</v>
      </c>
      <c r="C229" s="159" t="s">
        <v>447</v>
      </c>
      <c r="D229" s="151" t="s">
        <v>448</v>
      </c>
      <c r="E229" s="153">
        <v>1</v>
      </c>
      <c r="F229" s="193">
        <f>G229/E229</f>
        <v>0</v>
      </c>
      <c r="G229" s="153"/>
      <c r="H229" s="149"/>
      <c r="I229" s="149"/>
      <c r="J229" s="194"/>
      <c r="K229" s="149"/>
      <c r="L229" s="149"/>
      <c r="M229" s="149"/>
      <c r="N229" s="149"/>
      <c r="O229" s="157"/>
      <c r="P229" s="157"/>
    </row>
    <row r="230" spans="1:16" ht="96.75" customHeight="1" hidden="1">
      <c r="A230" s="153"/>
      <c r="B230" s="153"/>
      <c r="C230" s="150" t="s">
        <v>353</v>
      </c>
      <c r="D230" s="151" t="s">
        <v>393</v>
      </c>
      <c r="E230" s="149" t="s">
        <v>16</v>
      </c>
      <c r="F230" s="149" t="s">
        <v>16</v>
      </c>
      <c r="G230" s="153">
        <f>SUM(G231:G233)</f>
        <v>0</v>
      </c>
      <c r="H230" s="153">
        <f>SUM(H231:H233)</f>
        <v>0</v>
      </c>
      <c r="I230" s="153">
        <f>SUM(I231:I233)</f>
        <v>0</v>
      </c>
      <c r="J230" s="153">
        <f>SUM(J231:J233)</f>
        <v>0</v>
      </c>
      <c r="K230" s="153">
        <f>SUM(K231:K233)</f>
        <v>0</v>
      </c>
      <c r="L230" s="149"/>
      <c r="M230" s="149"/>
      <c r="N230" s="149"/>
      <c r="O230" s="157"/>
      <c r="P230" s="157"/>
    </row>
    <row r="231" spans="1:16" ht="15.75" customHeight="1">
      <c r="A231" s="153"/>
      <c r="B231" s="153"/>
      <c r="C231" s="159" t="s">
        <v>187</v>
      </c>
      <c r="D231" s="160"/>
      <c r="E231" s="149" t="s">
        <v>16</v>
      </c>
      <c r="F231" s="149" t="s">
        <v>16</v>
      </c>
      <c r="G231" s="149"/>
      <c r="H231" s="149"/>
      <c r="I231" s="149"/>
      <c r="J231" s="194"/>
      <c r="K231" s="149"/>
      <c r="L231" s="149"/>
      <c r="M231" s="149"/>
      <c r="N231" s="149"/>
      <c r="O231" s="157"/>
      <c r="P231" s="157"/>
    </row>
    <row r="232" spans="1:16" ht="15.75" customHeight="1">
      <c r="A232" s="153"/>
      <c r="B232" s="153"/>
      <c r="C232" s="171" t="s">
        <v>394</v>
      </c>
      <c r="D232" s="35"/>
      <c r="E232" s="153"/>
      <c r="F232" s="153"/>
      <c r="G232" s="153"/>
      <c r="H232" s="149"/>
      <c r="I232" s="149"/>
      <c r="J232" s="194"/>
      <c r="K232" s="149"/>
      <c r="L232" s="149"/>
      <c r="M232" s="149"/>
      <c r="N232" s="149"/>
      <c r="O232" s="157"/>
      <c r="P232" s="157"/>
    </row>
    <row r="233" spans="1:16" ht="15.75" customHeight="1">
      <c r="A233" s="153"/>
      <c r="B233" s="153"/>
      <c r="C233" s="150"/>
      <c r="D233" s="151"/>
      <c r="E233" s="153"/>
      <c r="F233" s="153"/>
      <c r="G233" s="153"/>
      <c r="H233" s="149"/>
      <c r="I233" s="149"/>
      <c r="J233" s="194"/>
      <c r="K233" s="149"/>
      <c r="L233" s="149"/>
      <c r="M233" s="149"/>
      <c r="N233" s="149"/>
      <c r="O233" s="157"/>
      <c r="P233" s="157"/>
    </row>
    <row r="234" spans="1:16" ht="27.75" customHeight="1">
      <c r="A234" s="153"/>
      <c r="B234" s="153"/>
      <c r="C234" s="150" t="s">
        <v>395</v>
      </c>
      <c r="D234" s="151" t="s">
        <v>396</v>
      </c>
      <c r="E234" s="149" t="s">
        <v>16</v>
      </c>
      <c r="F234" s="149" t="s">
        <v>16</v>
      </c>
      <c r="G234" s="153">
        <f>SUM(G235:G246)</f>
        <v>510139</v>
      </c>
      <c r="H234" s="153">
        <f aca="true" t="shared" si="2" ref="H234:M234">SUM(H235:H246)</f>
        <v>349039</v>
      </c>
      <c r="I234" s="153">
        <f t="shared" si="2"/>
        <v>40000</v>
      </c>
      <c r="J234" s="187">
        <f>SUM(J235:J246)</f>
        <v>309039</v>
      </c>
      <c r="K234" s="153">
        <f t="shared" si="2"/>
        <v>161100</v>
      </c>
      <c r="L234" s="153">
        <f t="shared" si="2"/>
        <v>0</v>
      </c>
      <c r="M234" s="153">
        <f t="shared" si="2"/>
        <v>0</v>
      </c>
      <c r="N234" s="149"/>
      <c r="O234" s="157"/>
      <c r="P234" s="157"/>
    </row>
    <row r="235" spans="1:16" ht="31.5">
      <c r="A235" s="153">
        <v>244</v>
      </c>
      <c r="B235" s="153">
        <v>244</v>
      </c>
      <c r="C235" s="159" t="s">
        <v>188</v>
      </c>
      <c r="D235" s="65" t="s">
        <v>408</v>
      </c>
      <c r="E235" s="153">
        <v>12</v>
      </c>
      <c r="F235" s="153">
        <f>G235/E235</f>
        <v>3500</v>
      </c>
      <c r="G235" s="153">
        <f>H235</f>
        <v>42000</v>
      </c>
      <c r="H235" s="166">
        <f>J235</f>
        <v>42000</v>
      </c>
      <c r="I235" s="166"/>
      <c r="J235" s="192">
        <v>42000</v>
      </c>
      <c r="K235" s="149"/>
      <c r="L235" s="149"/>
      <c r="M235" s="166"/>
      <c r="N235" s="149"/>
      <c r="O235" s="157"/>
      <c r="P235" s="157"/>
    </row>
    <row r="236" spans="1:16" ht="31.5">
      <c r="A236" s="153">
        <v>244</v>
      </c>
      <c r="B236" s="153">
        <v>244</v>
      </c>
      <c r="C236" s="159" t="s">
        <v>289</v>
      </c>
      <c r="D236" s="65" t="s">
        <v>409</v>
      </c>
      <c r="E236" s="153">
        <v>12</v>
      </c>
      <c r="F236" s="153">
        <f>G236/E236</f>
        <v>12008.333333333334</v>
      </c>
      <c r="G236" s="153">
        <f aca="true" t="shared" si="3" ref="G236:G244">H236</f>
        <v>144100</v>
      </c>
      <c r="H236" s="166">
        <f aca="true" t="shared" si="4" ref="H236:H246">J236</f>
        <v>144100</v>
      </c>
      <c r="I236" s="166"/>
      <c r="J236" s="192">
        <v>144100</v>
      </c>
      <c r="K236" s="149"/>
      <c r="L236" s="149"/>
      <c r="M236" s="166"/>
      <c r="N236" s="149"/>
      <c r="O236" s="157"/>
      <c r="P236" s="157"/>
    </row>
    <row r="237" spans="1:16" ht="31.5">
      <c r="A237" s="153">
        <v>244</v>
      </c>
      <c r="B237" s="153">
        <v>244</v>
      </c>
      <c r="C237" s="159" t="s">
        <v>291</v>
      </c>
      <c r="D237" s="65" t="s">
        <v>410</v>
      </c>
      <c r="E237" s="153">
        <v>12</v>
      </c>
      <c r="F237" s="153">
        <f>G237/E237</f>
        <v>744.9166666666666</v>
      </c>
      <c r="G237" s="153">
        <f t="shared" si="3"/>
        <v>8939</v>
      </c>
      <c r="H237" s="166">
        <f t="shared" si="4"/>
        <v>8939</v>
      </c>
      <c r="I237" s="166"/>
      <c r="J237" s="192">
        <f>7900+1039</f>
        <v>8939</v>
      </c>
      <c r="K237" s="149"/>
      <c r="L237" s="149"/>
      <c r="M237" s="166"/>
      <c r="N237" s="149"/>
      <c r="O237" s="157"/>
      <c r="P237" s="157"/>
    </row>
    <row r="238" spans="1:16" ht="31.5">
      <c r="A238" s="153">
        <v>244</v>
      </c>
      <c r="B238" s="153">
        <v>244</v>
      </c>
      <c r="C238" s="159" t="s">
        <v>413</v>
      </c>
      <c r="D238" s="65" t="s">
        <v>411</v>
      </c>
      <c r="E238" s="153">
        <v>12</v>
      </c>
      <c r="F238" s="153">
        <f>G238/E238</f>
        <v>2000</v>
      </c>
      <c r="G238" s="153">
        <f t="shared" si="3"/>
        <v>24000</v>
      </c>
      <c r="H238" s="166">
        <f t="shared" si="4"/>
        <v>24000</v>
      </c>
      <c r="I238" s="166"/>
      <c r="J238" s="192">
        <f>22800+1200</f>
        <v>24000</v>
      </c>
      <c r="K238" s="149"/>
      <c r="L238" s="149"/>
      <c r="M238" s="166"/>
      <c r="N238" s="149"/>
      <c r="O238" s="157"/>
      <c r="P238" s="157"/>
    </row>
    <row r="239" spans="1:16" ht="31.5">
      <c r="A239" s="153">
        <v>244</v>
      </c>
      <c r="B239" s="153">
        <v>244</v>
      </c>
      <c r="C239" s="159" t="s">
        <v>414</v>
      </c>
      <c r="D239" s="160" t="s">
        <v>412</v>
      </c>
      <c r="E239" s="153">
        <v>1</v>
      </c>
      <c r="F239" s="153">
        <f>G239/E239</f>
        <v>30000</v>
      </c>
      <c r="G239" s="153">
        <f t="shared" si="3"/>
        <v>30000</v>
      </c>
      <c r="H239" s="166">
        <f>I239</f>
        <v>30000</v>
      </c>
      <c r="I239" s="166">
        <v>30000</v>
      </c>
      <c r="J239" s="192"/>
      <c r="K239" s="149"/>
      <c r="L239" s="149"/>
      <c r="M239" s="166"/>
      <c r="N239" s="149"/>
      <c r="O239" s="157"/>
      <c r="P239" s="157"/>
    </row>
    <row r="240" spans="1:16" ht="18.75">
      <c r="A240" s="153">
        <v>244</v>
      </c>
      <c r="B240" s="153">
        <v>244</v>
      </c>
      <c r="C240" s="159" t="s">
        <v>415</v>
      </c>
      <c r="D240" s="160" t="s">
        <v>550</v>
      </c>
      <c r="E240" s="153">
        <v>1</v>
      </c>
      <c r="F240" s="153">
        <f>G240</f>
        <v>10000</v>
      </c>
      <c r="G240" s="153">
        <f>H240</f>
        <v>10000</v>
      </c>
      <c r="H240" s="166">
        <f>I240+J240</f>
        <v>10000</v>
      </c>
      <c r="I240" s="149">
        <v>10000</v>
      </c>
      <c r="J240" s="194"/>
      <c r="K240" s="149"/>
      <c r="L240" s="149"/>
      <c r="M240" s="166"/>
      <c r="N240" s="149"/>
      <c r="O240" s="157"/>
      <c r="P240" s="157"/>
    </row>
    <row r="241" spans="1:16" ht="18.75">
      <c r="A241" s="153">
        <v>244</v>
      </c>
      <c r="B241" s="153">
        <v>244</v>
      </c>
      <c r="C241" s="159" t="s">
        <v>449</v>
      </c>
      <c r="D241" s="160" t="s">
        <v>510</v>
      </c>
      <c r="E241" s="153">
        <v>7</v>
      </c>
      <c r="F241" s="153">
        <f aca="true" t="shared" si="5" ref="F241:F246">G241/E241</f>
        <v>12857.142857142857</v>
      </c>
      <c r="G241" s="153">
        <f t="shared" si="3"/>
        <v>90000</v>
      </c>
      <c r="H241" s="166">
        <f t="shared" si="4"/>
        <v>90000</v>
      </c>
      <c r="I241" s="149"/>
      <c r="J241" s="194">
        <v>90000</v>
      </c>
      <c r="K241" s="149"/>
      <c r="L241" s="149"/>
      <c r="M241" s="149"/>
      <c r="N241" s="149"/>
      <c r="O241" s="157"/>
      <c r="P241" s="157"/>
    </row>
    <row r="242" spans="1:16" ht="18.75">
      <c r="A242" s="153">
        <v>244</v>
      </c>
      <c r="B242" s="153">
        <v>244</v>
      </c>
      <c r="C242" s="159" t="s">
        <v>454</v>
      </c>
      <c r="D242" s="151" t="s">
        <v>456</v>
      </c>
      <c r="E242" s="153">
        <v>1</v>
      </c>
      <c r="F242" s="153">
        <f t="shared" si="5"/>
        <v>0</v>
      </c>
      <c r="G242" s="153">
        <f t="shared" si="3"/>
        <v>0</v>
      </c>
      <c r="H242" s="166">
        <f t="shared" si="4"/>
        <v>0</v>
      </c>
      <c r="I242" s="149"/>
      <c r="J242" s="194"/>
      <c r="K242" s="149"/>
      <c r="L242" s="149"/>
      <c r="M242" s="149"/>
      <c r="N242" s="149"/>
      <c r="O242" s="157"/>
      <c r="P242" s="157"/>
    </row>
    <row r="243" spans="1:16" ht="31.5">
      <c r="A243" s="153"/>
      <c r="B243" s="153">
        <v>244</v>
      </c>
      <c r="C243" s="159" t="s">
        <v>464</v>
      </c>
      <c r="D243" s="151" t="s">
        <v>451</v>
      </c>
      <c r="E243" s="153">
        <v>1</v>
      </c>
      <c r="F243" s="153">
        <f t="shared" si="5"/>
        <v>0</v>
      </c>
      <c r="G243" s="153">
        <f t="shared" si="3"/>
        <v>0</v>
      </c>
      <c r="H243" s="166">
        <f t="shared" si="4"/>
        <v>0</v>
      </c>
      <c r="I243" s="149"/>
      <c r="J243" s="194"/>
      <c r="K243" s="149"/>
      <c r="L243" s="149"/>
      <c r="M243" s="149"/>
      <c r="N243" s="149"/>
      <c r="O243" s="157"/>
      <c r="P243" s="157"/>
    </row>
    <row r="244" spans="1:16" ht="18.75">
      <c r="A244" s="153"/>
      <c r="B244" s="153">
        <v>244</v>
      </c>
      <c r="C244" s="159" t="s">
        <v>465</v>
      </c>
      <c r="D244" s="151" t="s">
        <v>461</v>
      </c>
      <c r="E244" s="153">
        <v>1</v>
      </c>
      <c r="F244" s="153">
        <f t="shared" si="5"/>
        <v>0</v>
      </c>
      <c r="G244" s="153">
        <f t="shared" si="3"/>
        <v>0</v>
      </c>
      <c r="H244" s="166">
        <f t="shared" si="4"/>
        <v>0</v>
      </c>
      <c r="I244" s="149"/>
      <c r="J244" s="194"/>
      <c r="K244" s="149"/>
      <c r="L244" s="149"/>
      <c r="M244" s="149"/>
      <c r="N244" s="149"/>
      <c r="O244" s="157"/>
      <c r="P244" s="157"/>
    </row>
    <row r="245" spans="1:16" ht="18.75">
      <c r="A245" s="153"/>
      <c r="B245" s="153">
        <v>244</v>
      </c>
      <c r="C245" s="159" t="s">
        <v>467</v>
      </c>
      <c r="D245" s="151" t="s">
        <v>563</v>
      </c>
      <c r="E245" s="153">
        <v>1</v>
      </c>
      <c r="F245" s="153">
        <f t="shared" si="5"/>
        <v>161100</v>
      </c>
      <c r="G245" s="153">
        <f>K245</f>
        <v>161100</v>
      </c>
      <c r="H245" s="166">
        <f t="shared" si="4"/>
        <v>0</v>
      </c>
      <c r="I245" s="149"/>
      <c r="J245" s="194"/>
      <c r="K245" s="149">
        <v>161100</v>
      </c>
      <c r="L245" s="149"/>
      <c r="M245" s="149"/>
      <c r="N245" s="149"/>
      <c r="O245" s="157"/>
      <c r="P245" s="157"/>
    </row>
    <row r="246" spans="1:16" ht="18.75">
      <c r="A246" s="153"/>
      <c r="B246" s="153">
        <v>244</v>
      </c>
      <c r="C246" s="159" t="s">
        <v>468</v>
      </c>
      <c r="D246" s="151" t="s">
        <v>469</v>
      </c>
      <c r="E246" s="153">
        <v>1</v>
      </c>
      <c r="F246" s="153">
        <f t="shared" si="5"/>
        <v>0</v>
      </c>
      <c r="G246" s="153">
        <f>H246</f>
        <v>0</v>
      </c>
      <c r="H246" s="166">
        <f t="shared" si="4"/>
        <v>0</v>
      </c>
      <c r="I246" s="149"/>
      <c r="J246" s="194"/>
      <c r="K246" s="149"/>
      <c r="L246" s="149"/>
      <c r="M246" s="149"/>
      <c r="N246" s="149"/>
      <c r="O246" s="157"/>
      <c r="P246" s="157"/>
    </row>
    <row r="247" spans="1:16" ht="18.75">
      <c r="A247" s="149" t="s">
        <v>203</v>
      </c>
      <c r="B247" s="149" t="s">
        <v>203</v>
      </c>
      <c r="C247" s="149" t="s">
        <v>203</v>
      </c>
      <c r="D247" s="151" t="s">
        <v>29</v>
      </c>
      <c r="E247" s="149" t="s">
        <v>16</v>
      </c>
      <c r="F247" s="149" t="s">
        <v>16</v>
      </c>
      <c r="G247" s="153">
        <f>G220+G224+G227+G230+G234</f>
        <v>757539</v>
      </c>
      <c r="H247" s="153">
        <f aca="true" t="shared" si="6" ref="H247:M247">H220+H224+H227+H234</f>
        <v>596439</v>
      </c>
      <c r="I247" s="153">
        <f t="shared" si="6"/>
        <v>40000</v>
      </c>
      <c r="J247" s="153">
        <f t="shared" si="6"/>
        <v>556439</v>
      </c>
      <c r="K247" s="153">
        <f t="shared" si="6"/>
        <v>161100</v>
      </c>
      <c r="L247" s="153">
        <f t="shared" si="6"/>
        <v>0</v>
      </c>
      <c r="M247" s="153">
        <f t="shared" si="6"/>
        <v>0</v>
      </c>
      <c r="N247" s="153"/>
      <c r="O247" s="157"/>
      <c r="P247" s="157"/>
    </row>
    <row r="248" spans="1:16" ht="18.75">
      <c r="A248" s="156">
        <f>'Раздел 1'!D77-G247</f>
        <v>0</v>
      </c>
      <c r="B248" s="156"/>
      <c r="C248" s="157"/>
      <c r="E248" s="157"/>
      <c r="F248" s="157"/>
      <c r="G248" s="180"/>
      <c r="H248" s="157"/>
      <c r="I248" s="167">
        <f>'Раздел 1'!T77</f>
        <v>40000</v>
      </c>
      <c r="J248" s="167">
        <f>'Раздел 1'!L77</f>
        <v>556439</v>
      </c>
      <c r="K248" s="167">
        <f>'Раздел 1'!AB77</f>
        <v>161100</v>
      </c>
      <c r="L248" s="219"/>
      <c r="M248" s="167">
        <f>'Раздел 1'!AJ77</f>
        <v>0</v>
      </c>
      <c r="N248" s="157"/>
      <c r="O248" s="157"/>
      <c r="P248" s="157"/>
    </row>
    <row r="249" spans="2:16" ht="18.75">
      <c r="B249" s="374" t="s">
        <v>189</v>
      </c>
      <c r="C249" s="374"/>
      <c r="D249" s="374"/>
      <c r="E249" s="374"/>
      <c r="F249" s="374"/>
      <c r="G249" s="374"/>
      <c r="H249" s="374"/>
      <c r="I249" s="374"/>
      <c r="J249" s="374"/>
      <c r="K249" s="374"/>
      <c r="L249" s="374"/>
      <c r="M249" s="374"/>
      <c r="N249" s="374"/>
      <c r="O249" s="157"/>
      <c r="P249" s="157"/>
    </row>
    <row r="250" spans="1:16" ht="18.75">
      <c r="A250" s="158"/>
      <c r="B250" s="158"/>
      <c r="C250" s="157"/>
      <c r="E250" s="157"/>
      <c r="F250" s="157"/>
      <c r="G250" s="157"/>
      <c r="H250" s="157"/>
      <c r="I250" s="157"/>
      <c r="J250" s="157"/>
      <c r="K250" s="157"/>
      <c r="L250" s="157"/>
      <c r="M250" s="157"/>
      <c r="N250" s="157"/>
      <c r="O250" s="157"/>
      <c r="P250" s="157"/>
    </row>
    <row r="251" spans="1:16" ht="19.5" customHeight="1">
      <c r="A251" s="366" t="s">
        <v>107</v>
      </c>
      <c r="B251" s="366" t="s">
        <v>107</v>
      </c>
      <c r="C251" s="366" t="s">
        <v>31</v>
      </c>
      <c r="D251" s="308" t="s">
        <v>30</v>
      </c>
      <c r="E251" s="366" t="s">
        <v>190</v>
      </c>
      <c r="F251" s="366" t="s">
        <v>191</v>
      </c>
      <c r="G251" s="366" t="s">
        <v>493</v>
      </c>
      <c r="H251" s="366" t="s">
        <v>111</v>
      </c>
      <c r="I251" s="366"/>
      <c r="J251" s="366"/>
      <c r="K251" s="366"/>
      <c r="L251" s="366"/>
      <c r="M251" s="366"/>
      <c r="N251" s="366"/>
      <c r="O251" s="157"/>
      <c r="P251" s="157"/>
    </row>
    <row r="252" spans="1:16" ht="27.75" customHeight="1">
      <c r="A252" s="366"/>
      <c r="B252" s="366"/>
      <c r="C252" s="366"/>
      <c r="D252" s="308"/>
      <c r="E252" s="366"/>
      <c r="F252" s="366"/>
      <c r="G252" s="366"/>
      <c r="H252" s="366" t="s">
        <v>112</v>
      </c>
      <c r="I252" s="366"/>
      <c r="J252" s="366"/>
      <c r="K252" s="366" t="s">
        <v>113</v>
      </c>
      <c r="L252" s="366" t="s">
        <v>135</v>
      </c>
      <c r="M252" s="366" t="s">
        <v>114</v>
      </c>
      <c r="N252" s="366"/>
      <c r="O252" s="157"/>
      <c r="P252" s="157"/>
    </row>
    <row r="253" spans="1:16" ht="48" customHeight="1">
      <c r="A253" s="366"/>
      <c r="B253" s="366"/>
      <c r="C253" s="366"/>
      <c r="D253" s="308"/>
      <c r="E253" s="366"/>
      <c r="F253" s="366"/>
      <c r="G253" s="366"/>
      <c r="H253" s="366" t="s">
        <v>96</v>
      </c>
      <c r="I253" s="366" t="s">
        <v>349</v>
      </c>
      <c r="J253" s="366" t="s">
        <v>350</v>
      </c>
      <c r="K253" s="366"/>
      <c r="L253" s="366"/>
      <c r="M253" s="366"/>
      <c r="N253" s="366"/>
      <c r="O253" s="157"/>
      <c r="P253" s="157"/>
    </row>
    <row r="254" spans="1:16" ht="49.5" customHeight="1">
      <c r="A254" s="366"/>
      <c r="B254" s="366"/>
      <c r="C254" s="366"/>
      <c r="D254" s="308"/>
      <c r="E254" s="366"/>
      <c r="F254" s="366"/>
      <c r="G254" s="366"/>
      <c r="H254" s="366"/>
      <c r="I254" s="366"/>
      <c r="J254" s="366"/>
      <c r="K254" s="366"/>
      <c r="L254" s="366"/>
      <c r="M254" s="149" t="s">
        <v>96</v>
      </c>
      <c r="N254" s="149" t="s">
        <v>351</v>
      </c>
      <c r="O254" s="157"/>
      <c r="P254" s="157"/>
    </row>
    <row r="255" spans="1:16" ht="15.75" customHeight="1">
      <c r="A255" s="149">
        <v>1</v>
      </c>
      <c r="B255" s="149">
        <v>1</v>
      </c>
      <c r="C255" s="149">
        <v>2</v>
      </c>
      <c r="D255" s="72">
        <v>3</v>
      </c>
      <c r="E255" s="149">
        <v>4</v>
      </c>
      <c r="F255" s="149">
        <v>5</v>
      </c>
      <c r="G255" s="149">
        <v>6</v>
      </c>
      <c r="H255" s="149">
        <v>7</v>
      </c>
      <c r="I255" s="149">
        <v>8</v>
      </c>
      <c r="J255" s="149">
        <v>9</v>
      </c>
      <c r="K255" s="149">
        <v>10</v>
      </c>
      <c r="L255" s="149">
        <v>11</v>
      </c>
      <c r="M255" s="149">
        <v>12</v>
      </c>
      <c r="N255" s="149">
        <v>13</v>
      </c>
      <c r="O255" s="157"/>
      <c r="P255" s="157"/>
    </row>
    <row r="256" spans="1:16" ht="43.5" customHeight="1">
      <c r="A256" s="153"/>
      <c r="B256" s="153"/>
      <c r="C256" s="150" t="s">
        <v>58</v>
      </c>
      <c r="D256" s="151" t="s">
        <v>397</v>
      </c>
      <c r="E256" s="149" t="s">
        <v>16</v>
      </c>
      <c r="F256" s="149" t="s">
        <v>16</v>
      </c>
      <c r="G256" s="153">
        <f>G257+G258</f>
        <v>10000</v>
      </c>
      <c r="H256" s="153">
        <f>H257+H258</f>
        <v>10000</v>
      </c>
      <c r="I256" s="153">
        <f aca="true" t="shared" si="7" ref="I256:N256">I257+I258</f>
        <v>10000</v>
      </c>
      <c r="J256" s="153">
        <f t="shared" si="7"/>
        <v>0</v>
      </c>
      <c r="K256" s="153">
        <f t="shared" si="7"/>
        <v>0</v>
      </c>
      <c r="L256" s="153">
        <f t="shared" si="7"/>
        <v>0</v>
      </c>
      <c r="M256" s="153">
        <f t="shared" si="7"/>
        <v>9000</v>
      </c>
      <c r="N256" s="153">
        <f t="shared" si="7"/>
        <v>0</v>
      </c>
      <c r="O256" s="157"/>
      <c r="P256" s="157"/>
    </row>
    <row r="257" spans="1:16" ht="16.5" customHeight="1">
      <c r="A257" s="153">
        <v>244</v>
      </c>
      <c r="B257" s="153">
        <v>244</v>
      </c>
      <c r="C257" s="159" t="s">
        <v>124</v>
      </c>
      <c r="D257" s="160" t="s">
        <v>530</v>
      </c>
      <c r="E257" s="149">
        <v>1</v>
      </c>
      <c r="F257" s="149">
        <f>G257/E257</f>
        <v>10000</v>
      </c>
      <c r="G257" s="166">
        <f>H257</f>
        <v>10000</v>
      </c>
      <c r="H257" s="166">
        <f>I257</f>
        <v>10000</v>
      </c>
      <c r="I257" s="166">
        <v>10000</v>
      </c>
      <c r="J257" s="166"/>
      <c r="K257" s="166"/>
      <c r="L257" s="166"/>
      <c r="M257" s="166"/>
      <c r="N257" s="166"/>
      <c r="O257" s="157"/>
      <c r="P257" s="157"/>
    </row>
    <row r="258" spans="1:16" ht="16.5" customHeight="1">
      <c r="A258" s="153">
        <v>244</v>
      </c>
      <c r="B258" s="153">
        <v>244</v>
      </c>
      <c r="C258" s="159" t="s">
        <v>125</v>
      </c>
      <c r="D258" s="160" t="s">
        <v>421</v>
      </c>
      <c r="E258" s="149">
        <v>1</v>
      </c>
      <c r="F258" s="149">
        <f>G258/E258</f>
        <v>0</v>
      </c>
      <c r="G258" s="166">
        <f>H258</f>
        <v>0</v>
      </c>
      <c r="H258" s="166">
        <f>J258</f>
        <v>0</v>
      </c>
      <c r="I258" s="166"/>
      <c r="J258" s="166"/>
      <c r="K258" s="166"/>
      <c r="L258" s="166"/>
      <c r="M258" s="166">
        <v>9000</v>
      </c>
      <c r="N258" s="166"/>
      <c r="O258" s="157"/>
      <c r="P258" s="157"/>
    </row>
    <row r="259" spans="1:16" ht="29.25" customHeight="1">
      <c r="A259" s="153"/>
      <c r="B259" s="153"/>
      <c r="C259" s="150" t="s">
        <v>262</v>
      </c>
      <c r="D259" s="151" t="s">
        <v>398</v>
      </c>
      <c r="E259" s="149" t="s">
        <v>16</v>
      </c>
      <c r="F259" s="149" t="s">
        <v>16</v>
      </c>
      <c r="G259" s="166">
        <f>H259</f>
        <v>0</v>
      </c>
      <c r="H259" s="166">
        <f aca="true" t="shared" si="8" ref="H259:N259">H260</f>
        <v>0</v>
      </c>
      <c r="I259" s="166">
        <f t="shared" si="8"/>
        <v>10000</v>
      </c>
      <c r="J259" s="166">
        <f t="shared" si="8"/>
        <v>0</v>
      </c>
      <c r="K259" s="166">
        <f t="shared" si="8"/>
        <v>0</v>
      </c>
      <c r="L259" s="166">
        <f t="shared" si="8"/>
        <v>0</v>
      </c>
      <c r="M259" s="166">
        <f t="shared" si="8"/>
        <v>0</v>
      </c>
      <c r="N259" s="166">
        <f t="shared" si="8"/>
        <v>0</v>
      </c>
      <c r="O259" s="157"/>
      <c r="P259" s="157"/>
    </row>
    <row r="260" spans="1:16" ht="15" customHeight="1">
      <c r="A260" s="153">
        <v>244</v>
      </c>
      <c r="B260" s="153">
        <v>244</v>
      </c>
      <c r="C260" s="159" t="s">
        <v>136</v>
      </c>
      <c r="D260" s="160" t="s">
        <v>290</v>
      </c>
      <c r="E260" s="149">
        <v>1</v>
      </c>
      <c r="F260" s="149">
        <f>G260/E260</f>
        <v>0</v>
      </c>
      <c r="G260" s="166">
        <v>0</v>
      </c>
      <c r="H260" s="166">
        <f>G260</f>
        <v>0</v>
      </c>
      <c r="I260" s="166">
        <v>10000</v>
      </c>
      <c r="J260" s="166"/>
      <c r="K260" s="166"/>
      <c r="L260" s="166"/>
      <c r="M260" s="166"/>
      <c r="N260" s="166"/>
      <c r="O260" s="157"/>
      <c r="P260" s="157"/>
    </row>
    <row r="261" spans="1:16" ht="15" customHeight="1">
      <c r="A261" s="153"/>
      <c r="B261" s="153"/>
      <c r="C261" s="159"/>
      <c r="D261" s="160"/>
      <c r="E261" s="153"/>
      <c r="F261" s="153"/>
      <c r="G261" s="166"/>
      <c r="H261" s="166"/>
      <c r="I261" s="166"/>
      <c r="J261" s="166"/>
      <c r="K261" s="166"/>
      <c r="L261" s="166"/>
      <c r="M261" s="166"/>
      <c r="N261" s="166"/>
      <c r="O261" s="157"/>
      <c r="P261" s="157"/>
    </row>
    <row r="262" spans="1:16" ht="30" customHeight="1">
      <c r="A262" s="153"/>
      <c r="B262" s="153"/>
      <c r="C262" s="150" t="s">
        <v>352</v>
      </c>
      <c r="D262" s="151" t="s">
        <v>399</v>
      </c>
      <c r="E262" s="149" t="s">
        <v>16</v>
      </c>
      <c r="F262" s="149" t="s">
        <v>16</v>
      </c>
      <c r="G262" s="166">
        <f>G263+G264</f>
        <v>269200</v>
      </c>
      <c r="H262" s="166">
        <f>H263+H264</f>
        <v>269200</v>
      </c>
      <c r="I262" s="166">
        <f>I263+I264</f>
        <v>220000</v>
      </c>
      <c r="J262" s="166">
        <f>J263</f>
        <v>49200</v>
      </c>
      <c r="K262" s="166">
        <f>K263</f>
        <v>0</v>
      </c>
      <c r="L262" s="166">
        <f>L263</f>
        <v>0</v>
      </c>
      <c r="M262" s="166">
        <f>M263</f>
        <v>0</v>
      </c>
      <c r="N262" s="166">
        <f>N263</f>
        <v>0</v>
      </c>
      <c r="O262" s="157"/>
      <c r="P262" s="157"/>
    </row>
    <row r="263" spans="1:16" ht="15.75" customHeight="1">
      <c r="A263" s="153">
        <v>244</v>
      </c>
      <c r="B263" s="153">
        <v>244</v>
      </c>
      <c r="C263" s="159" t="s">
        <v>142</v>
      </c>
      <c r="D263" s="160" t="s">
        <v>420</v>
      </c>
      <c r="E263" s="149">
        <v>2</v>
      </c>
      <c r="F263" s="149">
        <f>G263/E263</f>
        <v>134600</v>
      </c>
      <c r="G263" s="166">
        <f>H263</f>
        <v>269200</v>
      </c>
      <c r="H263" s="166">
        <f>I263+J263</f>
        <v>269200</v>
      </c>
      <c r="I263" s="166">
        <v>220000</v>
      </c>
      <c r="J263" s="166">
        <f>49200</f>
        <v>49200</v>
      </c>
      <c r="K263" s="166"/>
      <c r="L263" s="166"/>
      <c r="M263" s="166"/>
      <c r="N263" s="166"/>
      <c r="O263" s="157"/>
      <c r="P263" s="157"/>
    </row>
    <row r="264" spans="1:16" ht="15.75" customHeight="1">
      <c r="A264" s="153"/>
      <c r="B264" s="153"/>
      <c r="C264" s="159" t="s">
        <v>447</v>
      </c>
      <c r="D264" s="160" t="s">
        <v>466</v>
      </c>
      <c r="E264" s="149">
        <v>1</v>
      </c>
      <c r="F264" s="149"/>
      <c r="G264" s="166">
        <f>H264</f>
        <v>0</v>
      </c>
      <c r="H264" s="166">
        <f>J264</f>
        <v>0</v>
      </c>
      <c r="I264" s="166"/>
      <c r="J264" s="166"/>
      <c r="K264" s="166"/>
      <c r="L264" s="166"/>
      <c r="M264" s="166"/>
      <c r="N264" s="166"/>
      <c r="O264" s="157"/>
      <c r="P264" s="157"/>
    </row>
    <row r="265" spans="1:16" ht="33.75" customHeight="1">
      <c r="A265" s="153"/>
      <c r="B265" s="153"/>
      <c r="C265" s="150" t="s">
        <v>353</v>
      </c>
      <c r="D265" s="151" t="s">
        <v>400</v>
      </c>
      <c r="E265" s="149" t="s">
        <v>16</v>
      </c>
      <c r="F265" s="149" t="s">
        <v>16</v>
      </c>
      <c r="G265" s="166">
        <f>G267+G268+G269+G270+G272+G278+G274+G273+G276+G275+G277+G271</f>
        <v>2230893</v>
      </c>
      <c r="H265" s="166">
        <f>H267+H268+H269+H270+H272+H278</f>
        <v>73890</v>
      </c>
      <c r="I265" s="166">
        <f>I267+I268+I269+I270+I272+I278</f>
        <v>41990</v>
      </c>
      <c r="J265" s="166">
        <f>J267+J268+J269+J270+J272+J278</f>
        <v>31900</v>
      </c>
      <c r="K265" s="166">
        <f>K267+K268+K269+K270+K272+K278+K274+K273+K277+K271</f>
        <v>2119703</v>
      </c>
      <c r="L265" s="166">
        <f>L267+L268+L269+L270</f>
        <v>0</v>
      </c>
      <c r="M265" s="166"/>
      <c r="N265" s="166">
        <f>N267+N268+N269+N270</f>
        <v>0</v>
      </c>
      <c r="O265" s="157"/>
      <c r="P265" s="157"/>
    </row>
    <row r="266" spans="1:16" ht="18.75">
      <c r="A266" s="153"/>
      <c r="B266" s="153"/>
      <c r="C266" s="159" t="s">
        <v>187</v>
      </c>
      <c r="D266" s="160"/>
      <c r="E266" s="149" t="s">
        <v>16</v>
      </c>
      <c r="F266" s="149" t="s">
        <v>16</v>
      </c>
      <c r="G266" s="166"/>
      <c r="H266" s="166"/>
      <c r="I266" s="166"/>
      <c r="J266" s="166"/>
      <c r="K266" s="166"/>
      <c r="L266" s="166"/>
      <c r="M266" s="166"/>
      <c r="N266" s="166"/>
      <c r="O266" s="157"/>
      <c r="P266" s="157"/>
    </row>
    <row r="267" spans="1:16" ht="18.75">
      <c r="A267" s="153">
        <v>244</v>
      </c>
      <c r="B267" s="153">
        <v>244</v>
      </c>
      <c r="C267" s="171" t="s">
        <v>394</v>
      </c>
      <c r="D267" s="35" t="s">
        <v>416</v>
      </c>
      <c r="E267" s="153">
        <v>1</v>
      </c>
      <c r="F267" s="153">
        <f aca="true" t="shared" si="9" ref="F267:F278">G267/E267</f>
        <v>2041200</v>
      </c>
      <c r="G267" s="166">
        <f>K267</f>
        <v>2041200</v>
      </c>
      <c r="H267" s="166"/>
      <c r="I267" s="166"/>
      <c r="J267" s="166"/>
      <c r="K267" s="166">
        <v>2041200</v>
      </c>
      <c r="L267" s="166"/>
      <c r="M267" s="166"/>
      <c r="N267" s="166"/>
      <c r="O267" s="157"/>
      <c r="P267" s="157"/>
    </row>
    <row r="268" spans="1:16" ht="47.25">
      <c r="A268" s="153">
        <v>244</v>
      </c>
      <c r="B268" s="153">
        <v>244</v>
      </c>
      <c r="C268" s="171" t="s">
        <v>417</v>
      </c>
      <c r="D268" s="35" t="s">
        <v>418</v>
      </c>
      <c r="E268" s="153">
        <v>1</v>
      </c>
      <c r="F268" s="153">
        <f t="shared" si="9"/>
        <v>4500</v>
      </c>
      <c r="G268" s="166">
        <f>H268</f>
        <v>4500</v>
      </c>
      <c r="H268" s="166">
        <f>J268+I268+K268</f>
        <v>4500</v>
      </c>
      <c r="I268" s="166"/>
      <c r="J268" s="166">
        <v>4500</v>
      </c>
      <c r="K268" s="166"/>
      <c r="L268" s="166"/>
      <c r="M268" s="166"/>
      <c r="N268" s="166"/>
      <c r="O268" s="157"/>
      <c r="P268" s="157"/>
    </row>
    <row r="269" spans="1:16" ht="31.5">
      <c r="A269" s="153">
        <v>244</v>
      </c>
      <c r="B269" s="153">
        <v>244</v>
      </c>
      <c r="C269" s="171" t="s">
        <v>419</v>
      </c>
      <c r="D269" s="35" t="s">
        <v>422</v>
      </c>
      <c r="E269" s="153">
        <v>1</v>
      </c>
      <c r="F269" s="153">
        <f t="shared" si="9"/>
        <v>69290</v>
      </c>
      <c r="G269" s="166">
        <f>H269+M269+K269</f>
        <v>69290</v>
      </c>
      <c r="H269" s="166">
        <f aca="true" t="shared" si="10" ref="H269:H278">J269+I269</f>
        <v>31990</v>
      </c>
      <c r="I269" s="166">
        <f>26480+5510</f>
        <v>31990</v>
      </c>
      <c r="J269" s="166"/>
      <c r="K269" s="166"/>
      <c r="L269" s="166"/>
      <c r="M269" s="166">
        <v>37300</v>
      </c>
      <c r="N269" s="166"/>
      <c r="O269" s="157"/>
      <c r="P269" s="157"/>
    </row>
    <row r="270" spans="1:16" ht="31.5">
      <c r="A270" s="153">
        <v>244</v>
      </c>
      <c r="B270" s="153">
        <v>244</v>
      </c>
      <c r="C270" s="171" t="s">
        <v>423</v>
      </c>
      <c r="D270" s="35" t="s">
        <v>528</v>
      </c>
      <c r="E270" s="153">
        <v>1</v>
      </c>
      <c r="F270" s="153">
        <f t="shared" si="9"/>
        <v>0</v>
      </c>
      <c r="G270" s="166">
        <f>H270+M270</f>
        <v>0</v>
      </c>
      <c r="H270" s="166">
        <f t="shared" si="10"/>
        <v>0</v>
      </c>
      <c r="I270" s="166"/>
      <c r="J270" s="166"/>
      <c r="K270" s="166"/>
      <c r="L270" s="166"/>
      <c r="M270" s="166"/>
      <c r="N270" s="166"/>
      <c r="O270" s="157"/>
      <c r="P270" s="157"/>
    </row>
    <row r="271" spans="1:14" s="157" customFormat="1" ht="15">
      <c r="A271" s="261"/>
      <c r="B271" s="261">
        <v>244</v>
      </c>
      <c r="C271" s="262" t="s">
        <v>455</v>
      </c>
      <c r="D271" s="232" t="s">
        <v>585</v>
      </c>
      <c r="E271" s="261">
        <v>1</v>
      </c>
      <c r="F271" s="261">
        <f t="shared" si="9"/>
        <v>78503</v>
      </c>
      <c r="G271" s="257">
        <f>K271</f>
        <v>78503</v>
      </c>
      <c r="H271" s="257">
        <f>I271+J271</f>
        <v>0</v>
      </c>
      <c r="I271" s="257"/>
      <c r="J271" s="257"/>
      <c r="K271" s="257">
        <v>78503</v>
      </c>
      <c r="L271" s="257"/>
      <c r="M271" s="257"/>
      <c r="N271" s="257"/>
    </row>
    <row r="272" spans="1:16" ht="18.75">
      <c r="A272" s="153"/>
      <c r="B272" s="153">
        <v>244</v>
      </c>
      <c r="C272" s="171" t="s">
        <v>455</v>
      </c>
      <c r="D272" s="35" t="s">
        <v>511</v>
      </c>
      <c r="E272" s="153">
        <v>1</v>
      </c>
      <c r="F272" s="153">
        <f t="shared" si="9"/>
        <v>10000</v>
      </c>
      <c r="G272" s="166">
        <f>H272</f>
        <v>10000</v>
      </c>
      <c r="H272" s="166">
        <f t="shared" si="10"/>
        <v>10000</v>
      </c>
      <c r="I272" s="166">
        <v>10000</v>
      </c>
      <c r="J272" s="166"/>
      <c r="K272" s="166"/>
      <c r="L272" s="166"/>
      <c r="M272" s="166"/>
      <c r="N272" s="166"/>
      <c r="O272" s="157"/>
      <c r="P272" s="157"/>
    </row>
    <row r="273" spans="1:16" ht="39.75" customHeight="1" hidden="1">
      <c r="A273" s="153"/>
      <c r="B273" s="153">
        <v>244</v>
      </c>
      <c r="C273" s="171" t="s">
        <v>458</v>
      </c>
      <c r="D273" s="35" t="s">
        <v>531</v>
      </c>
      <c r="E273" s="153">
        <v>1</v>
      </c>
      <c r="F273" s="153">
        <f>G273/E273</f>
        <v>0</v>
      </c>
      <c r="G273" s="166">
        <f>K273</f>
        <v>0</v>
      </c>
      <c r="H273" s="166">
        <f>J273+I273</f>
        <v>0</v>
      </c>
      <c r="I273" s="166"/>
      <c r="J273" s="166"/>
      <c r="K273" s="166"/>
      <c r="L273" s="166"/>
      <c r="M273" s="166"/>
      <c r="N273" s="166"/>
      <c r="O273" s="157"/>
      <c r="P273" s="157"/>
    </row>
    <row r="274" spans="1:16" ht="39.75" customHeight="1" hidden="1">
      <c r="A274" s="153"/>
      <c r="B274" s="153">
        <v>244</v>
      </c>
      <c r="C274" s="171" t="s">
        <v>458</v>
      </c>
      <c r="D274" s="35" t="s">
        <v>529</v>
      </c>
      <c r="E274" s="153">
        <v>1</v>
      </c>
      <c r="F274" s="153">
        <f>G274/E274</f>
        <v>0</v>
      </c>
      <c r="G274" s="166">
        <f>K274+M274</f>
        <v>0</v>
      </c>
      <c r="H274" s="166">
        <f t="shared" si="10"/>
        <v>0</v>
      </c>
      <c r="I274" s="166"/>
      <c r="J274" s="166"/>
      <c r="K274" s="166"/>
      <c r="L274" s="166"/>
      <c r="M274" s="166"/>
      <c r="N274" s="166"/>
      <c r="O274" s="157"/>
      <c r="P274" s="157"/>
    </row>
    <row r="275" spans="1:16" ht="39.75" customHeight="1" hidden="1">
      <c r="A275" s="153"/>
      <c r="B275" s="153">
        <v>244</v>
      </c>
      <c r="C275" s="171" t="s">
        <v>458</v>
      </c>
      <c r="D275" s="35" t="s">
        <v>541</v>
      </c>
      <c r="E275" s="153">
        <v>1</v>
      </c>
      <c r="F275" s="153">
        <f>G275/E275</f>
        <v>0</v>
      </c>
      <c r="G275" s="166">
        <f>K275+M275</f>
        <v>0</v>
      </c>
      <c r="H275" s="166">
        <f>J275+I275</f>
        <v>0</v>
      </c>
      <c r="I275" s="166"/>
      <c r="J275" s="166"/>
      <c r="K275" s="166"/>
      <c r="L275" s="166"/>
      <c r="M275" s="166"/>
      <c r="N275" s="166"/>
      <c r="O275" s="157"/>
      <c r="P275" s="157"/>
    </row>
    <row r="276" spans="1:16" ht="39.75" customHeight="1" hidden="1">
      <c r="A276" s="153"/>
      <c r="B276" s="153">
        <v>244</v>
      </c>
      <c r="C276" s="171" t="s">
        <v>458</v>
      </c>
      <c r="D276" s="35" t="s">
        <v>539</v>
      </c>
      <c r="E276" s="153">
        <v>1</v>
      </c>
      <c r="F276" s="153">
        <f>G276/E276</f>
        <v>0</v>
      </c>
      <c r="G276" s="166">
        <f>K276+M276</f>
        <v>0</v>
      </c>
      <c r="H276" s="166">
        <f t="shared" si="10"/>
        <v>0</v>
      </c>
      <c r="I276" s="166"/>
      <c r="J276" s="166"/>
      <c r="K276" s="166"/>
      <c r="L276" s="166"/>
      <c r="M276" s="166"/>
      <c r="N276" s="166"/>
      <c r="O276" s="157"/>
      <c r="P276" s="157"/>
    </row>
    <row r="277" spans="1:16" ht="39.75" customHeight="1" hidden="1">
      <c r="A277" s="153"/>
      <c r="B277" s="153">
        <v>244</v>
      </c>
      <c r="C277" s="171" t="s">
        <v>458</v>
      </c>
      <c r="D277" s="35" t="s">
        <v>543</v>
      </c>
      <c r="E277" s="153">
        <v>1</v>
      </c>
      <c r="F277" s="153">
        <f>G277/E277</f>
        <v>0</v>
      </c>
      <c r="G277" s="166">
        <f>K277</f>
        <v>0</v>
      </c>
      <c r="H277" s="166">
        <f>J277+I277</f>
        <v>0</v>
      </c>
      <c r="I277" s="166"/>
      <c r="J277" s="166"/>
      <c r="K277" s="166"/>
      <c r="L277" s="166"/>
      <c r="M277" s="166"/>
      <c r="N277" s="166"/>
      <c r="O277" s="157"/>
      <c r="P277" s="157"/>
    </row>
    <row r="278" spans="1:16" ht="39.75" customHeight="1">
      <c r="A278" s="153"/>
      <c r="B278" s="153">
        <v>244</v>
      </c>
      <c r="C278" s="171" t="s">
        <v>458</v>
      </c>
      <c r="D278" s="35" t="s">
        <v>512</v>
      </c>
      <c r="E278" s="153">
        <v>1</v>
      </c>
      <c r="F278" s="153">
        <f t="shared" si="9"/>
        <v>27400</v>
      </c>
      <c r="G278" s="166">
        <f>H278</f>
        <v>27400</v>
      </c>
      <c r="H278" s="166">
        <f t="shared" si="10"/>
        <v>27400</v>
      </c>
      <c r="I278" s="166"/>
      <c r="J278" s="166">
        <v>27400</v>
      </c>
      <c r="K278" s="166"/>
      <c r="L278" s="166"/>
      <c r="M278" s="166"/>
      <c r="N278" s="166"/>
      <c r="O278" s="157"/>
      <c r="P278" s="157"/>
    </row>
    <row r="279" spans="1:16" ht="18.75">
      <c r="A279" s="149" t="s">
        <v>203</v>
      </c>
      <c r="B279" s="149" t="s">
        <v>203</v>
      </c>
      <c r="C279" s="149" t="s">
        <v>203</v>
      </c>
      <c r="D279" s="151" t="s">
        <v>29</v>
      </c>
      <c r="E279" s="149" t="s">
        <v>16</v>
      </c>
      <c r="F279" s="149" t="s">
        <v>16</v>
      </c>
      <c r="G279" s="153">
        <f>G256+G259+G262+G265</f>
        <v>2510093</v>
      </c>
      <c r="H279" s="153">
        <f>H256+H259+H262+H265</f>
        <v>353090</v>
      </c>
      <c r="I279" s="153">
        <f>I256+I259+I262+I265</f>
        <v>281990</v>
      </c>
      <c r="J279" s="153">
        <f>J278+J269+J268+J258+J265</f>
        <v>63800</v>
      </c>
      <c r="K279" s="153">
        <f>K256+K259+K262+K265</f>
        <v>2119703</v>
      </c>
      <c r="L279" s="153">
        <f>L256+L259+L262+L265</f>
        <v>0</v>
      </c>
      <c r="M279" s="153">
        <f>M269</f>
        <v>37300</v>
      </c>
      <c r="N279" s="153">
        <f>N256+N259+N262+N265</f>
        <v>0</v>
      </c>
      <c r="O279" s="157"/>
      <c r="P279" s="157"/>
    </row>
    <row r="280" spans="1:16" ht="18.75">
      <c r="A280" s="156">
        <f>'Раздел 1'!D78-G279</f>
        <v>0</v>
      </c>
      <c r="B280" s="156"/>
      <c r="C280" s="157"/>
      <c r="E280" s="157"/>
      <c r="F280" s="157"/>
      <c r="G280" s="180"/>
      <c r="H280" s="157"/>
      <c r="I280" s="167">
        <f>'Раздел 1'!T78</f>
        <v>271990</v>
      </c>
      <c r="J280" s="180"/>
      <c r="K280" s="167">
        <f>'Раздел 1'!AB78</f>
        <v>2119703</v>
      </c>
      <c r="L280" s="219"/>
      <c r="M280" s="167">
        <f>'Раздел 1'!AJ78</f>
        <v>37300</v>
      </c>
      <c r="N280" s="157"/>
      <c r="O280" s="157"/>
      <c r="P280" s="157"/>
    </row>
    <row r="281" spans="2:16" ht="18.75">
      <c r="B281" s="374" t="s">
        <v>192</v>
      </c>
      <c r="C281" s="374"/>
      <c r="D281" s="374"/>
      <c r="E281" s="374"/>
      <c r="F281" s="374"/>
      <c r="G281" s="374"/>
      <c r="H281" s="374"/>
      <c r="I281" s="374"/>
      <c r="J281" s="374"/>
      <c r="K281" s="374"/>
      <c r="L281" s="374"/>
      <c r="M281" s="374"/>
      <c r="N281" s="374"/>
      <c r="O281" s="157"/>
      <c r="P281" s="157"/>
    </row>
    <row r="282" spans="1:16" ht="18.75" hidden="1">
      <c r="A282" s="158"/>
      <c r="B282" s="158"/>
      <c r="C282" s="157"/>
      <c r="E282" s="157"/>
      <c r="F282" s="157"/>
      <c r="G282" s="157"/>
      <c r="H282" s="157"/>
      <c r="I282" s="157"/>
      <c r="J282" s="157"/>
      <c r="K282" s="157"/>
      <c r="L282" s="157"/>
      <c r="M282" s="157"/>
      <c r="N282" s="157"/>
      <c r="O282" s="157"/>
      <c r="P282" s="157"/>
    </row>
    <row r="283" spans="1:16" ht="19.5" customHeight="1">
      <c r="A283" s="366" t="s">
        <v>107</v>
      </c>
      <c r="B283" s="366" t="s">
        <v>107</v>
      </c>
      <c r="C283" s="366" t="s">
        <v>31</v>
      </c>
      <c r="D283" s="308" t="s">
        <v>30</v>
      </c>
      <c r="E283" s="366" t="s">
        <v>193</v>
      </c>
      <c r="F283" s="366" t="s">
        <v>194</v>
      </c>
      <c r="G283" s="149" t="s">
        <v>13</v>
      </c>
      <c r="H283" s="366" t="s">
        <v>111</v>
      </c>
      <c r="I283" s="366"/>
      <c r="J283" s="366"/>
      <c r="K283" s="366"/>
      <c r="L283" s="366"/>
      <c r="M283" s="366"/>
      <c r="N283" s="366"/>
      <c r="O283" s="157"/>
      <c r="P283" s="157"/>
    </row>
    <row r="284" spans="1:16" ht="87" customHeight="1">
      <c r="A284" s="366"/>
      <c r="B284" s="366"/>
      <c r="C284" s="366"/>
      <c r="D284" s="308"/>
      <c r="E284" s="366"/>
      <c r="F284" s="366"/>
      <c r="G284" s="362" t="s">
        <v>494</v>
      </c>
      <c r="H284" s="366" t="s">
        <v>112</v>
      </c>
      <c r="I284" s="366"/>
      <c r="J284" s="366"/>
      <c r="K284" s="366" t="s">
        <v>113</v>
      </c>
      <c r="L284" s="366" t="s">
        <v>135</v>
      </c>
      <c r="M284" s="366" t="s">
        <v>114</v>
      </c>
      <c r="N284" s="366"/>
      <c r="O284" s="157"/>
      <c r="P284" s="157"/>
    </row>
    <row r="285" spans="1:16" ht="18.75">
      <c r="A285" s="366"/>
      <c r="B285" s="366"/>
      <c r="C285" s="366"/>
      <c r="D285" s="308"/>
      <c r="E285" s="366"/>
      <c r="F285" s="366"/>
      <c r="G285" s="363"/>
      <c r="H285" s="366" t="s">
        <v>96</v>
      </c>
      <c r="I285" s="366" t="s">
        <v>349</v>
      </c>
      <c r="J285" s="366" t="s">
        <v>350</v>
      </c>
      <c r="K285" s="366"/>
      <c r="L285" s="366"/>
      <c r="M285" s="366"/>
      <c r="N285" s="366"/>
      <c r="O285" s="157"/>
      <c r="P285" s="157"/>
    </row>
    <row r="286" spans="1:16" ht="18.75" customHeight="1">
      <c r="A286" s="366"/>
      <c r="B286" s="366"/>
      <c r="C286" s="366"/>
      <c r="D286" s="308"/>
      <c r="E286" s="366"/>
      <c r="F286" s="366"/>
      <c r="G286" s="377"/>
      <c r="H286" s="366"/>
      <c r="I286" s="366"/>
      <c r="J286" s="366"/>
      <c r="K286" s="366"/>
      <c r="L286" s="366"/>
      <c r="M286" s="149" t="s">
        <v>96</v>
      </c>
      <c r="N286" s="149" t="s">
        <v>351</v>
      </c>
      <c r="O286" s="157"/>
      <c r="P286" s="157"/>
    </row>
    <row r="287" spans="1:16" ht="15.75" customHeight="1">
      <c r="A287" s="149">
        <v>1</v>
      </c>
      <c r="B287" s="149">
        <v>1</v>
      </c>
      <c r="C287" s="149">
        <v>2</v>
      </c>
      <c r="D287" s="72">
        <v>3</v>
      </c>
      <c r="E287" s="149">
        <v>4</v>
      </c>
      <c r="F287" s="149">
        <v>5</v>
      </c>
      <c r="G287" s="149">
        <v>6</v>
      </c>
      <c r="H287" s="149">
        <v>7</v>
      </c>
      <c r="I287" s="149">
        <v>8</v>
      </c>
      <c r="J287" s="149">
        <v>9</v>
      </c>
      <c r="K287" s="149">
        <v>10</v>
      </c>
      <c r="L287" s="149">
        <v>11</v>
      </c>
      <c r="M287" s="149">
        <v>12</v>
      </c>
      <c r="N287" s="149">
        <v>13</v>
      </c>
      <c r="O287" s="157"/>
      <c r="P287" s="157"/>
    </row>
    <row r="288" spans="1:16" ht="40.5" customHeight="1">
      <c r="A288" s="153"/>
      <c r="B288" s="153"/>
      <c r="C288" s="150" t="s">
        <v>58</v>
      </c>
      <c r="D288" s="151" t="s">
        <v>401</v>
      </c>
      <c r="E288" s="149" t="s">
        <v>16</v>
      </c>
      <c r="F288" s="149" t="s">
        <v>16</v>
      </c>
      <c r="G288" s="153">
        <f>SUM(G290:G298)</f>
        <v>2769774.25</v>
      </c>
      <c r="H288" s="153">
        <f>SUM(H290:H298)</f>
        <v>1372974.25</v>
      </c>
      <c r="I288" s="153">
        <f>SUM(I290:I298)</f>
        <v>1372974.25</v>
      </c>
      <c r="J288" s="153">
        <f>SUM(J290:J298)</f>
        <v>0</v>
      </c>
      <c r="K288" s="153">
        <f>SUM(K290:K298)</f>
        <v>1354700</v>
      </c>
      <c r="L288" s="153">
        <f>L290+L291+L292+L293+L295+L298</f>
        <v>0</v>
      </c>
      <c r="M288" s="153"/>
      <c r="N288" s="153"/>
      <c r="O288" s="157"/>
      <c r="P288" s="157"/>
    </row>
    <row r="289" spans="1:16" ht="18.75">
      <c r="A289" s="153"/>
      <c r="B289" s="153"/>
      <c r="C289" s="159" t="s">
        <v>124</v>
      </c>
      <c r="D289" s="160" t="s">
        <v>402</v>
      </c>
      <c r="E289" s="149" t="s">
        <v>16</v>
      </c>
      <c r="F289" s="149" t="s">
        <v>16</v>
      </c>
      <c r="G289" s="149"/>
      <c r="H289" s="149"/>
      <c r="I289" s="149"/>
      <c r="J289" s="149"/>
      <c r="K289" s="149"/>
      <c r="L289" s="149"/>
      <c r="M289" s="149"/>
      <c r="N289" s="149"/>
      <c r="O289" s="157"/>
      <c r="P289" s="157"/>
    </row>
    <row r="290" spans="1:16" ht="31.5">
      <c r="A290" s="153">
        <v>244</v>
      </c>
      <c r="B290" s="153">
        <v>244</v>
      </c>
      <c r="C290" s="171" t="s">
        <v>146</v>
      </c>
      <c r="D290" s="151" t="s">
        <v>292</v>
      </c>
      <c r="E290" s="153">
        <v>4</v>
      </c>
      <c r="F290" s="153">
        <f>G290/E290</f>
        <v>10525</v>
      </c>
      <c r="G290" s="153">
        <f>H290+M290</f>
        <v>42100</v>
      </c>
      <c r="H290" s="153">
        <f aca="true" t="shared" si="11" ref="H290:H298">I290</f>
        <v>0</v>
      </c>
      <c r="I290" s="153"/>
      <c r="J290" s="153"/>
      <c r="K290" s="153"/>
      <c r="L290" s="153"/>
      <c r="M290" s="153">
        <v>42100</v>
      </c>
      <c r="N290" s="153"/>
      <c r="O290" s="157"/>
      <c r="P290" s="157"/>
    </row>
    <row r="291" spans="1:16" ht="47.25">
      <c r="A291" s="153">
        <v>244</v>
      </c>
      <c r="B291" s="153">
        <v>244</v>
      </c>
      <c r="C291" s="171" t="s">
        <v>424</v>
      </c>
      <c r="D291" s="151" t="s">
        <v>425</v>
      </c>
      <c r="E291" s="153">
        <v>25</v>
      </c>
      <c r="F291" s="153">
        <f>G291/E291</f>
        <v>39988</v>
      </c>
      <c r="G291" s="153">
        <f>K291</f>
        <v>999700</v>
      </c>
      <c r="H291" s="153">
        <f t="shared" si="11"/>
        <v>0</v>
      </c>
      <c r="I291" s="166"/>
      <c r="J291" s="149"/>
      <c r="K291" s="149">
        <v>999700</v>
      </c>
      <c r="L291" s="149"/>
      <c r="M291" s="149"/>
      <c r="N291" s="149"/>
      <c r="O291" s="157"/>
      <c r="P291" s="157"/>
    </row>
    <row r="292" spans="1:16" ht="34.5" customHeight="1">
      <c r="A292" s="153"/>
      <c r="B292" s="153">
        <v>244</v>
      </c>
      <c r="C292" s="171" t="s">
        <v>426</v>
      </c>
      <c r="D292" s="35" t="s">
        <v>514</v>
      </c>
      <c r="E292" s="153">
        <v>1</v>
      </c>
      <c r="F292" s="153">
        <v>63000</v>
      </c>
      <c r="G292" s="166">
        <f>H292+K292+M292</f>
        <v>20000</v>
      </c>
      <c r="H292" s="153">
        <f t="shared" si="11"/>
        <v>20000</v>
      </c>
      <c r="I292" s="166">
        <v>20000</v>
      </c>
      <c r="J292" s="166"/>
      <c r="K292" s="166"/>
      <c r="L292" s="166"/>
      <c r="M292" s="166"/>
      <c r="N292" s="166"/>
      <c r="O292" s="157"/>
      <c r="P292" s="157"/>
    </row>
    <row r="293" spans="1:16" ht="36" customHeight="1">
      <c r="A293" s="153">
        <v>244</v>
      </c>
      <c r="B293" s="153">
        <v>244</v>
      </c>
      <c r="C293" s="171" t="s">
        <v>428</v>
      </c>
      <c r="D293" s="151" t="s">
        <v>513</v>
      </c>
      <c r="E293" s="153">
        <v>4</v>
      </c>
      <c r="F293" s="153">
        <f aca="true" t="shared" si="12" ref="F293:F298">G293/E293</f>
        <v>313243.5625</v>
      </c>
      <c r="G293" s="153">
        <f>H293</f>
        <v>1252974.25</v>
      </c>
      <c r="H293" s="153">
        <f t="shared" si="11"/>
        <v>1252974.25</v>
      </c>
      <c r="I293" s="149">
        <f>107000+1507559.65-361585.4</f>
        <v>1252974.25</v>
      </c>
      <c r="J293" s="149"/>
      <c r="K293" s="166"/>
      <c r="L293" s="149"/>
      <c r="M293" s="149"/>
      <c r="N293" s="149"/>
      <c r="O293" s="157"/>
      <c r="P293" s="157"/>
    </row>
    <row r="294" spans="1:16" ht="31.5">
      <c r="A294" s="153">
        <v>244</v>
      </c>
      <c r="B294" s="153">
        <v>244</v>
      </c>
      <c r="C294" s="171" t="s">
        <v>450</v>
      </c>
      <c r="D294" s="65" t="s">
        <v>577</v>
      </c>
      <c r="E294" s="153">
        <v>1</v>
      </c>
      <c r="F294" s="153">
        <f t="shared" si="12"/>
        <v>55000</v>
      </c>
      <c r="G294" s="153">
        <f>H294+K294</f>
        <v>55000</v>
      </c>
      <c r="H294" s="153">
        <f>I294</f>
        <v>0</v>
      </c>
      <c r="I294" s="281"/>
      <c r="J294" s="195"/>
      <c r="K294" s="166">
        <v>55000</v>
      </c>
      <c r="L294" s="281"/>
      <c r="M294" s="281"/>
      <c r="N294" s="281"/>
      <c r="O294" s="157"/>
      <c r="P294" s="157"/>
    </row>
    <row r="295" spans="1:16" ht="18.75">
      <c r="A295" s="153">
        <v>244</v>
      </c>
      <c r="B295" s="153">
        <v>244</v>
      </c>
      <c r="C295" s="171" t="s">
        <v>450</v>
      </c>
      <c r="D295" s="65" t="s">
        <v>551</v>
      </c>
      <c r="E295" s="153">
        <v>1</v>
      </c>
      <c r="F295" s="153">
        <f t="shared" si="12"/>
        <v>50000</v>
      </c>
      <c r="G295" s="153">
        <f>H295+K295</f>
        <v>50000</v>
      </c>
      <c r="H295" s="153">
        <f t="shared" si="11"/>
        <v>50000</v>
      </c>
      <c r="I295" s="149">
        <v>50000</v>
      </c>
      <c r="J295" s="195"/>
      <c r="K295" s="166"/>
      <c r="L295" s="149"/>
      <c r="M295" s="149"/>
      <c r="N295" s="149"/>
      <c r="O295" s="157"/>
      <c r="P295" s="157"/>
    </row>
    <row r="296" spans="1:16" ht="18.75">
      <c r="A296" s="153">
        <v>244</v>
      </c>
      <c r="B296" s="153">
        <v>244</v>
      </c>
      <c r="C296" s="171" t="s">
        <v>460</v>
      </c>
      <c r="D296" s="65" t="s">
        <v>588</v>
      </c>
      <c r="E296" s="153">
        <v>1</v>
      </c>
      <c r="F296" s="153">
        <f t="shared" si="12"/>
        <v>213000</v>
      </c>
      <c r="G296" s="153">
        <f>K296</f>
        <v>213000</v>
      </c>
      <c r="H296" s="153">
        <f t="shared" si="11"/>
        <v>0</v>
      </c>
      <c r="I296" s="290"/>
      <c r="J296" s="195"/>
      <c r="K296" s="166">
        <v>213000</v>
      </c>
      <c r="L296" s="290"/>
      <c r="M296" s="290"/>
      <c r="N296" s="290"/>
      <c r="O296" s="157"/>
      <c r="P296" s="157"/>
    </row>
    <row r="297" spans="1:16" ht="18.75">
      <c r="A297" s="153">
        <v>244</v>
      </c>
      <c r="B297" s="153">
        <v>244</v>
      </c>
      <c r="C297" s="171" t="s">
        <v>460</v>
      </c>
      <c r="D297" s="65" t="s">
        <v>587</v>
      </c>
      <c r="E297" s="153">
        <v>1</v>
      </c>
      <c r="F297" s="153">
        <f t="shared" si="12"/>
        <v>87000</v>
      </c>
      <c r="G297" s="153">
        <f>K297</f>
        <v>87000</v>
      </c>
      <c r="H297" s="153">
        <f>I297</f>
        <v>0</v>
      </c>
      <c r="I297" s="290"/>
      <c r="J297" s="195"/>
      <c r="K297" s="166">
        <v>87000</v>
      </c>
      <c r="L297" s="290"/>
      <c r="M297" s="290"/>
      <c r="N297" s="290"/>
      <c r="O297" s="157"/>
      <c r="P297" s="157"/>
    </row>
    <row r="298" spans="1:16" ht="31.5">
      <c r="A298" s="153">
        <v>244</v>
      </c>
      <c r="B298" s="153">
        <v>244</v>
      </c>
      <c r="C298" s="171" t="s">
        <v>460</v>
      </c>
      <c r="D298" s="65" t="s">
        <v>552</v>
      </c>
      <c r="E298" s="153">
        <v>1</v>
      </c>
      <c r="F298" s="153">
        <f t="shared" si="12"/>
        <v>50000</v>
      </c>
      <c r="G298" s="153">
        <f>I298</f>
        <v>50000</v>
      </c>
      <c r="H298" s="153">
        <f t="shared" si="11"/>
        <v>50000</v>
      </c>
      <c r="I298" s="149">
        <v>50000</v>
      </c>
      <c r="J298" s="195"/>
      <c r="K298" s="166"/>
      <c r="L298" s="149"/>
      <c r="M298" s="149"/>
      <c r="N298" s="149"/>
      <c r="O298" s="157"/>
      <c r="P298" s="157"/>
    </row>
    <row r="299" spans="1:16" ht="18.75">
      <c r="A299" s="149" t="s">
        <v>203</v>
      </c>
      <c r="B299" s="149" t="s">
        <v>203</v>
      </c>
      <c r="C299" s="149" t="s">
        <v>203</v>
      </c>
      <c r="D299" s="151" t="s">
        <v>29</v>
      </c>
      <c r="E299" s="149" t="s">
        <v>16</v>
      </c>
      <c r="F299" s="149" t="s">
        <v>16</v>
      </c>
      <c r="G299" s="153">
        <f aca="true" t="shared" si="13" ref="G299:L299">G288</f>
        <v>2769774.25</v>
      </c>
      <c r="H299" s="153">
        <f t="shared" si="13"/>
        <v>1372974.25</v>
      </c>
      <c r="I299" s="153">
        <f t="shared" si="13"/>
        <v>1372974.25</v>
      </c>
      <c r="J299" s="153">
        <f t="shared" si="13"/>
        <v>0</v>
      </c>
      <c r="K299" s="153">
        <f t="shared" si="13"/>
        <v>1354700</v>
      </c>
      <c r="L299" s="153">
        <f t="shared" si="13"/>
        <v>0</v>
      </c>
      <c r="M299" s="153">
        <f>M290</f>
        <v>42100</v>
      </c>
      <c r="N299" s="153"/>
      <c r="O299" s="157"/>
      <c r="P299" s="157"/>
    </row>
    <row r="300" spans="1:16" ht="18.75">
      <c r="A300" s="156">
        <f>'Раздел 1'!D80-G299</f>
        <v>0</v>
      </c>
      <c r="B300" s="156"/>
      <c r="C300" s="157"/>
      <c r="E300" s="157"/>
      <c r="F300" s="157"/>
      <c r="G300" s="161"/>
      <c r="H300" s="157"/>
      <c r="I300" s="167">
        <f>'Раздел 1'!T80</f>
        <v>1372974.25</v>
      </c>
      <c r="J300" s="167">
        <f>'Раздел 1'!L80</f>
        <v>0</v>
      </c>
      <c r="K300" s="167">
        <f>'Раздел 1'!AB80</f>
        <v>1354700</v>
      </c>
      <c r="L300" s="201"/>
      <c r="M300" s="167">
        <f>'Раздел 1'!AJ80</f>
        <v>42100</v>
      </c>
      <c r="N300" s="157"/>
      <c r="O300" s="157"/>
      <c r="P300" s="157"/>
    </row>
    <row r="301" spans="2:16" ht="18.75">
      <c r="B301" s="374" t="s">
        <v>195</v>
      </c>
      <c r="C301" s="374"/>
      <c r="D301" s="374"/>
      <c r="E301" s="374"/>
      <c r="F301" s="374"/>
      <c r="G301" s="374"/>
      <c r="H301" s="374"/>
      <c r="I301" s="374"/>
      <c r="J301" s="374"/>
      <c r="K301" s="374"/>
      <c r="L301" s="374"/>
      <c r="M301" s="374"/>
      <c r="N301" s="374"/>
      <c r="O301" s="157"/>
      <c r="P301" s="157"/>
    </row>
    <row r="302" spans="1:16" ht="18.75" hidden="1">
      <c r="A302" s="158"/>
      <c r="B302" s="158"/>
      <c r="C302" s="157"/>
      <c r="E302" s="157"/>
      <c r="F302" s="157"/>
      <c r="G302" s="157"/>
      <c r="H302" s="157"/>
      <c r="I302" s="157"/>
      <c r="J302" s="157"/>
      <c r="K302" s="157"/>
      <c r="L302" s="157"/>
      <c r="M302" s="157"/>
      <c r="N302" s="157"/>
      <c r="O302" s="157"/>
      <c r="P302" s="157"/>
    </row>
    <row r="303" spans="1:16" ht="19.5" customHeight="1">
      <c r="A303" s="366" t="s">
        <v>107</v>
      </c>
      <c r="B303" s="366" t="s">
        <v>107</v>
      </c>
      <c r="C303" s="366" t="s">
        <v>31</v>
      </c>
      <c r="D303" s="308" t="s">
        <v>30</v>
      </c>
      <c r="E303" s="366" t="s">
        <v>172</v>
      </c>
      <c r="F303" s="366" t="s">
        <v>193</v>
      </c>
      <c r="G303" s="366" t="s">
        <v>196</v>
      </c>
      <c r="H303" s="149" t="s">
        <v>13</v>
      </c>
      <c r="I303" s="366" t="s">
        <v>111</v>
      </c>
      <c r="J303" s="366"/>
      <c r="K303" s="366"/>
      <c r="L303" s="366"/>
      <c r="M303" s="366"/>
      <c r="N303" s="366"/>
      <c r="O303" s="366"/>
      <c r="P303" s="157"/>
    </row>
    <row r="304" spans="1:16" ht="39.75" customHeight="1">
      <c r="A304" s="366"/>
      <c r="B304" s="366"/>
      <c r="C304" s="366"/>
      <c r="D304" s="308"/>
      <c r="E304" s="366"/>
      <c r="F304" s="366"/>
      <c r="G304" s="366"/>
      <c r="H304" s="362" t="s">
        <v>495</v>
      </c>
      <c r="I304" s="366" t="s">
        <v>112</v>
      </c>
      <c r="J304" s="366"/>
      <c r="K304" s="366"/>
      <c r="L304" s="366" t="s">
        <v>113</v>
      </c>
      <c r="M304" s="366" t="s">
        <v>135</v>
      </c>
      <c r="N304" s="366" t="s">
        <v>114</v>
      </c>
      <c r="O304" s="366"/>
      <c r="P304" s="157"/>
    </row>
    <row r="305" spans="1:16" ht="30.75" customHeight="1">
      <c r="A305" s="366"/>
      <c r="B305" s="366"/>
      <c r="C305" s="366"/>
      <c r="D305" s="308"/>
      <c r="E305" s="366"/>
      <c r="F305" s="366"/>
      <c r="G305" s="366"/>
      <c r="H305" s="363"/>
      <c r="I305" s="366" t="s">
        <v>96</v>
      </c>
      <c r="J305" s="366" t="s">
        <v>349</v>
      </c>
      <c r="K305" s="366" t="s">
        <v>350</v>
      </c>
      <c r="L305" s="366"/>
      <c r="M305" s="366"/>
      <c r="N305" s="366"/>
      <c r="O305" s="366"/>
      <c r="P305" s="157"/>
    </row>
    <row r="306" spans="1:16" ht="30" customHeight="1">
      <c r="A306" s="366"/>
      <c r="B306" s="366"/>
      <c r="C306" s="366"/>
      <c r="D306" s="308"/>
      <c r="E306" s="366"/>
      <c r="F306" s="366"/>
      <c r="G306" s="366"/>
      <c r="H306" s="363"/>
      <c r="I306" s="366"/>
      <c r="J306" s="366"/>
      <c r="K306" s="366"/>
      <c r="L306" s="366"/>
      <c r="M306" s="366"/>
      <c r="N306" s="149" t="s">
        <v>96</v>
      </c>
      <c r="O306" s="149" t="s">
        <v>351</v>
      </c>
      <c r="P306" s="157"/>
    </row>
    <row r="307" spans="1:16" ht="16.5" customHeight="1">
      <c r="A307" s="149">
        <v>1</v>
      </c>
      <c r="B307" s="149">
        <v>1</v>
      </c>
      <c r="C307" s="149">
        <v>2</v>
      </c>
      <c r="D307" s="72">
        <v>3</v>
      </c>
      <c r="E307" s="149">
        <v>4</v>
      </c>
      <c r="F307" s="149">
        <v>5</v>
      </c>
      <c r="G307" s="149">
        <v>6</v>
      </c>
      <c r="H307" s="149">
        <v>7</v>
      </c>
      <c r="I307" s="149">
        <v>8</v>
      </c>
      <c r="J307" s="149">
        <v>9</v>
      </c>
      <c r="K307" s="149">
        <v>10</v>
      </c>
      <c r="L307" s="149">
        <v>11</v>
      </c>
      <c r="M307" s="149">
        <v>12</v>
      </c>
      <c r="N307" s="149">
        <v>13</v>
      </c>
      <c r="O307" s="149">
        <v>14</v>
      </c>
      <c r="P307" s="157"/>
    </row>
    <row r="308" spans="1:16" ht="18.75">
      <c r="A308" s="153"/>
      <c r="B308" s="153"/>
      <c r="C308" s="150">
        <v>1</v>
      </c>
      <c r="D308" s="151" t="s">
        <v>197</v>
      </c>
      <c r="E308" s="149" t="s">
        <v>16</v>
      </c>
      <c r="F308" s="149" t="s">
        <v>16</v>
      </c>
      <c r="G308" s="149" t="s">
        <v>16</v>
      </c>
      <c r="H308" s="153">
        <f>H310+H311+H312+H313+H318+H319+H314+H315+H316+H317</f>
        <v>4448910</v>
      </c>
      <c r="I308" s="153">
        <f>I310+I311+I312+I313+I318+I319</f>
        <v>1393520</v>
      </c>
      <c r="J308" s="153">
        <f>J310+J311+J312+J313+J318+J319</f>
        <v>56520</v>
      </c>
      <c r="K308" s="153">
        <f>K310+K311+K312+K313+K318+K319</f>
        <v>1342500</v>
      </c>
      <c r="L308" s="153">
        <f>L314</f>
        <v>0</v>
      </c>
      <c r="M308" s="153">
        <f>M310+M311+M312+M313+M318+M319</f>
        <v>0</v>
      </c>
      <c r="N308" s="153">
        <f>N310+N311+N312+N313+N318+N319+N315</f>
        <v>3040400</v>
      </c>
      <c r="O308" s="153">
        <f>O312+O313+O318+O319</f>
        <v>0</v>
      </c>
      <c r="P308" s="157"/>
    </row>
    <row r="309" spans="1:16" ht="18.75">
      <c r="A309" s="153"/>
      <c r="B309" s="153"/>
      <c r="C309" s="159" t="s">
        <v>124</v>
      </c>
      <c r="D309" s="160" t="s">
        <v>403</v>
      </c>
      <c r="E309" s="149" t="s">
        <v>16</v>
      </c>
      <c r="F309" s="149" t="s">
        <v>16</v>
      </c>
      <c r="G309" s="149" t="s">
        <v>16</v>
      </c>
      <c r="H309" s="149"/>
      <c r="I309" s="149"/>
      <c r="J309" s="149"/>
      <c r="K309" s="149"/>
      <c r="L309" s="149"/>
      <c r="M309" s="149"/>
      <c r="N309" s="149"/>
      <c r="O309" s="149"/>
      <c r="P309" s="157"/>
    </row>
    <row r="310" spans="1:16" ht="25.5" customHeight="1">
      <c r="A310" s="153">
        <v>244</v>
      </c>
      <c r="B310" s="153">
        <v>244</v>
      </c>
      <c r="C310" s="171" t="s">
        <v>146</v>
      </c>
      <c r="D310" s="151" t="s">
        <v>526</v>
      </c>
      <c r="E310" s="149" t="s">
        <v>427</v>
      </c>
      <c r="F310" s="149">
        <v>15</v>
      </c>
      <c r="G310" s="196">
        <f aca="true" t="shared" si="14" ref="G310:G319">H310/F310</f>
        <v>10400</v>
      </c>
      <c r="H310" s="149">
        <f>I310+N310</f>
        <v>156000</v>
      </c>
      <c r="I310" s="149">
        <f>K310</f>
        <v>47600</v>
      </c>
      <c r="J310" s="149"/>
      <c r="K310" s="149">
        <f>53300-4500-1200</f>
        <v>47600</v>
      </c>
      <c r="L310" s="149"/>
      <c r="M310" s="149"/>
      <c r="N310" s="149">
        <f>25600+82800</f>
        <v>108400</v>
      </c>
      <c r="O310" s="149"/>
      <c r="P310" s="157"/>
    </row>
    <row r="311" spans="1:16" ht="50.25" customHeight="1">
      <c r="A311" s="153">
        <v>244</v>
      </c>
      <c r="B311" s="153">
        <v>244</v>
      </c>
      <c r="C311" s="171" t="s">
        <v>424</v>
      </c>
      <c r="D311" s="151" t="s">
        <v>293</v>
      </c>
      <c r="E311" s="149" t="s">
        <v>427</v>
      </c>
      <c r="F311" s="149">
        <v>20</v>
      </c>
      <c r="G311" s="196">
        <f t="shared" si="14"/>
        <v>2000</v>
      </c>
      <c r="H311" s="149">
        <f>I311</f>
        <v>40000</v>
      </c>
      <c r="I311" s="149">
        <f>J311</f>
        <v>40000</v>
      </c>
      <c r="J311" s="149">
        <v>40000</v>
      </c>
      <c r="K311" s="149"/>
      <c r="L311" s="149"/>
      <c r="M311" s="149"/>
      <c r="N311" s="149"/>
      <c r="O311" s="149"/>
      <c r="P311" s="157"/>
    </row>
    <row r="312" spans="1:16" ht="25.5" customHeight="1" hidden="1">
      <c r="A312" s="153">
        <v>244</v>
      </c>
      <c r="B312" s="153">
        <v>244</v>
      </c>
      <c r="C312" s="171" t="s">
        <v>426</v>
      </c>
      <c r="D312" s="151" t="s">
        <v>527</v>
      </c>
      <c r="E312" s="149" t="s">
        <v>427</v>
      </c>
      <c r="F312" s="149">
        <v>40</v>
      </c>
      <c r="G312" s="149">
        <f t="shared" si="14"/>
        <v>0</v>
      </c>
      <c r="H312" s="149">
        <f>I312</f>
        <v>0</v>
      </c>
      <c r="I312" s="149">
        <f>K312</f>
        <v>0</v>
      </c>
      <c r="J312" s="149"/>
      <c r="K312" s="149"/>
      <c r="L312" s="149"/>
      <c r="M312" s="149"/>
      <c r="N312" s="149"/>
      <c r="O312" s="149"/>
      <c r="P312" s="157"/>
    </row>
    <row r="313" spans="1:16" ht="16.5" customHeight="1">
      <c r="A313" s="153">
        <v>244</v>
      </c>
      <c r="B313" s="153">
        <v>244</v>
      </c>
      <c r="C313" s="171" t="s">
        <v>428</v>
      </c>
      <c r="D313" s="151" t="s">
        <v>294</v>
      </c>
      <c r="E313" s="149" t="s">
        <v>288</v>
      </c>
      <c r="F313" s="149">
        <v>12</v>
      </c>
      <c r="G313" s="149">
        <f t="shared" si="14"/>
        <v>351783.3333333333</v>
      </c>
      <c r="H313" s="149">
        <f>I313+N313</f>
        <v>4221400</v>
      </c>
      <c r="I313" s="149">
        <f>J313+K313</f>
        <v>1289400</v>
      </c>
      <c r="J313" s="149"/>
      <c r="K313" s="149">
        <v>1289400</v>
      </c>
      <c r="L313" s="149"/>
      <c r="M313" s="149"/>
      <c r="N313" s="237">
        <f>3203400-163000-25600-82800</f>
        <v>2932000</v>
      </c>
      <c r="O313" s="149"/>
      <c r="P313" s="157"/>
    </row>
    <row r="314" spans="1:15" s="157" customFormat="1" ht="16.5" customHeight="1" hidden="1">
      <c r="A314" s="261">
        <v>244</v>
      </c>
      <c r="B314" s="261">
        <v>244</v>
      </c>
      <c r="C314" s="262" t="s">
        <v>536</v>
      </c>
      <c r="D314" s="232" t="s">
        <v>537</v>
      </c>
      <c r="E314" s="231" t="s">
        <v>427</v>
      </c>
      <c r="F314" s="231">
        <v>180</v>
      </c>
      <c r="G314" s="231">
        <f>H314/F314</f>
        <v>0</v>
      </c>
      <c r="H314" s="231">
        <f>L314</f>
        <v>0</v>
      </c>
      <c r="I314" s="231">
        <f>J314+K314</f>
        <v>0</v>
      </c>
      <c r="J314" s="231"/>
      <c r="K314" s="231"/>
      <c r="L314" s="231"/>
      <c r="M314" s="231"/>
      <c r="N314" s="231"/>
      <c r="O314" s="231"/>
    </row>
    <row r="315" spans="1:16" ht="16.5" customHeight="1" hidden="1">
      <c r="A315" s="153">
        <v>244</v>
      </c>
      <c r="B315" s="153">
        <v>244</v>
      </c>
      <c r="C315" s="171" t="s">
        <v>450</v>
      </c>
      <c r="D315" s="151" t="s">
        <v>538</v>
      </c>
      <c r="E315" s="259" t="s">
        <v>427</v>
      </c>
      <c r="F315" s="259">
        <v>5</v>
      </c>
      <c r="G315" s="259">
        <f>H315/F315</f>
        <v>0</v>
      </c>
      <c r="H315" s="259">
        <f>N315</f>
        <v>0</v>
      </c>
      <c r="I315" s="259">
        <f>J315</f>
        <v>0</v>
      </c>
      <c r="J315" s="259"/>
      <c r="K315" s="259"/>
      <c r="L315" s="166"/>
      <c r="M315" s="259"/>
      <c r="N315" s="259"/>
      <c r="O315" s="259"/>
      <c r="P315" s="157"/>
    </row>
    <row r="316" spans="1:16" ht="16.5" customHeight="1" hidden="1">
      <c r="A316" s="153">
        <v>244</v>
      </c>
      <c r="B316" s="153">
        <v>244</v>
      </c>
      <c r="C316" s="171" t="s">
        <v>450</v>
      </c>
      <c r="D316" s="151" t="s">
        <v>540</v>
      </c>
      <c r="E316" s="259" t="s">
        <v>427</v>
      </c>
      <c r="F316" s="259">
        <v>5</v>
      </c>
      <c r="G316" s="259">
        <f>H316/F316</f>
        <v>0</v>
      </c>
      <c r="H316" s="259">
        <f>N316</f>
        <v>0</v>
      </c>
      <c r="I316" s="259">
        <f>J316</f>
        <v>0</v>
      </c>
      <c r="J316" s="259"/>
      <c r="K316" s="259"/>
      <c r="L316" s="166"/>
      <c r="M316" s="259"/>
      <c r="N316" s="259"/>
      <c r="O316" s="259"/>
      <c r="P316" s="157"/>
    </row>
    <row r="317" spans="1:16" ht="16.5" customHeight="1">
      <c r="A317" s="153">
        <v>244</v>
      </c>
      <c r="B317" s="153">
        <v>244</v>
      </c>
      <c r="C317" s="171" t="s">
        <v>450</v>
      </c>
      <c r="D317" s="151" t="s">
        <v>516</v>
      </c>
      <c r="E317" s="284" t="s">
        <v>427</v>
      </c>
      <c r="F317" s="284">
        <v>5</v>
      </c>
      <c r="G317" s="284">
        <f>H317/F317</f>
        <v>1898</v>
      </c>
      <c r="H317" s="284">
        <f>I317</f>
        <v>9490</v>
      </c>
      <c r="I317" s="284">
        <f>J317</f>
        <v>9490</v>
      </c>
      <c r="J317" s="284">
        <f>15000-5510</f>
        <v>9490</v>
      </c>
      <c r="K317" s="284"/>
      <c r="L317" s="166"/>
      <c r="M317" s="284"/>
      <c r="N317" s="284"/>
      <c r="O317" s="284"/>
      <c r="P317" s="157"/>
    </row>
    <row r="318" spans="1:16" ht="16.5" customHeight="1">
      <c r="A318" s="153">
        <v>244</v>
      </c>
      <c r="B318" s="153">
        <v>244</v>
      </c>
      <c r="C318" s="171" t="s">
        <v>450</v>
      </c>
      <c r="D318" s="151" t="s">
        <v>584</v>
      </c>
      <c r="E318" s="149" t="s">
        <v>427</v>
      </c>
      <c r="F318" s="149">
        <v>5</v>
      </c>
      <c r="G318" s="149">
        <f t="shared" si="14"/>
        <v>1100</v>
      </c>
      <c r="H318" s="149">
        <f>K318</f>
        <v>5500</v>
      </c>
      <c r="I318" s="149">
        <f>J318</f>
        <v>0</v>
      </c>
      <c r="J318" s="149"/>
      <c r="K318" s="149">
        <v>5500</v>
      </c>
      <c r="L318" s="166"/>
      <c r="M318" s="149"/>
      <c r="N318" s="149"/>
      <c r="O318" s="149"/>
      <c r="P318" s="157"/>
    </row>
    <row r="319" spans="1:16" ht="18.75">
      <c r="A319" s="153"/>
      <c r="B319" s="153">
        <v>244</v>
      </c>
      <c r="C319" s="171" t="s">
        <v>460</v>
      </c>
      <c r="D319" s="112" t="s">
        <v>515</v>
      </c>
      <c r="E319" s="149" t="s">
        <v>427</v>
      </c>
      <c r="F319" s="149">
        <v>80</v>
      </c>
      <c r="G319" s="196">
        <f t="shared" si="14"/>
        <v>206.5</v>
      </c>
      <c r="H319" s="153">
        <f>I319</f>
        <v>16520</v>
      </c>
      <c r="I319" s="149">
        <f>J319</f>
        <v>16520</v>
      </c>
      <c r="J319" s="149">
        <f>43000-26480</f>
        <v>16520</v>
      </c>
      <c r="K319" s="149"/>
      <c r="L319" s="166"/>
      <c r="M319" s="149"/>
      <c r="N319" s="166"/>
      <c r="O319" s="149"/>
      <c r="P319" s="157"/>
    </row>
    <row r="320" spans="1:16" ht="18.75">
      <c r="A320" s="149" t="s">
        <v>203</v>
      </c>
      <c r="B320" s="149" t="s">
        <v>203</v>
      </c>
      <c r="C320" s="149" t="s">
        <v>203</v>
      </c>
      <c r="D320" s="151" t="s">
        <v>29</v>
      </c>
      <c r="E320" s="149" t="s">
        <v>16</v>
      </c>
      <c r="F320" s="149" t="s">
        <v>16</v>
      </c>
      <c r="G320" s="149" t="s">
        <v>16</v>
      </c>
      <c r="H320" s="153">
        <f>H308</f>
        <v>4448910</v>
      </c>
      <c r="I320" s="153">
        <f aca="true" t="shared" si="15" ref="I320:O320">I308</f>
        <v>1393520</v>
      </c>
      <c r="J320" s="153">
        <f>J308</f>
        <v>56520</v>
      </c>
      <c r="K320" s="153">
        <f>K308</f>
        <v>1342500</v>
      </c>
      <c r="L320" s="153">
        <f t="shared" si="15"/>
        <v>0</v>
      </c>
      <c r="M320" s="153">
        <f t="shared" si="15"/>
        <v>0</v>
      </c>
      <c r="N320" s="153">
        <f t="shared" si="15"/>
        <v>3040400</v>
      </c>
      <c r="O320" s="153">
        <f t="shared" si="15"/>
        <v>0</v>
      </c>
      <c r="P320" s="157"/>
    </row>
    <row r="321" spans="1:16" ht="18.75">
      <c r="A321" s="156">
        <f>'Раздел 1'!D81-H320</f>
        <v>0</v>
      </c>
      <c r="B321" s="156"/>
      <c r="C321" s="157"/>
      <c r="E321" s="157"/>
      <c r="F321" s="157"/>
      <c r="G321" s="157"/>
      <c r="H321" s="180"/>
      <c r="I321" s="157"/>
      <c r="J321" s="167">
        <f>'Раздел 1'!T81</f>
        <v>66010</v>
      </c>
      <c r="K321" s="167">
        <f>'Раздел 1'!L81</f>
        <v>1337000</v>
      </c>
      <c r="L321" s="167"/>
      <c r="M321" s="219"/>
      <c r="N321" s="167">
        <f>'Раздел 1'!AJ81</f>
        <v>3040400</v>
      </c>
      <c r="O321" s="157"/>
      <c r="P321" s="157"/>
    </row>
    <row r="322" spans="3:16" ht="18.75">
      <c r="C322" s="84" t="str">
        <f>'Раздел 1'!A93</f>
        <v>Начальник планового отдела</v>
      </c>
      <c r="D322" s="114"/>
      <c r="E322" s="84"/>
      <c r="F322" s="84" t="s">
        <v>25</v>
      </c>
      <c r="G322" s="84"/>
      <c r="H322" s="326"/>
      <c r="I322" s="326"/>
      <c r="J322" s="84"/>
      <c r="K322" s="310" t="str">
        <f>'Раздел 1'!F93</f>
        <v>А.М. Шхалахова</v>
      </c>
      <c r="L322" s="310"/>
      <c r="M322" s="310"/>
      <c r="N322" s="310"/>
      <c r="O322" s="84"/>
      <c r="P322" s="84"/>
    </row>
    <row r="323" spans="1:16" ht="18.75">
      <c r="A323" s="197">
        <f>'Раздел 1'!D41-J16-H32-H43-G58-G81-G103-G127-G150-G163-H177-I194-G211-G247-G279-G299-H320</f>
        <v>0</v>
      </c>
      <c r="B323" s="197"/>
      <c r="C323" s="84" t="str">
        <f>'Раздел 1'!A94</f>
        <v>тел.270-24-56</v>
      </c>
      <c r="D323" s="114"/>
      <c r="E323" s="84"/>
      <c r="F323" s="84" t="s">
        <v>42</v>
      </c>
      <c r="G323" s="84"/>
      <c r="H323" s="84"/>
      <c r="I323" s="84"/>
      <c r="J323" s="84"/>
      <c r="K323" s="382" t="s">
        <v>23</v>
      </c>
      <c r="L323" s="382"/>
      <c r="M323" s="382"/>
      <c r="N323" s="382"/>
      <c r="O323" s="84"/>
      <c r="P323" s="84"/>
    </row>
    <row r="324" spans="3:16" ht="10.5" customHeight="1">
      <c r="C324" s="84"/>
      <c r="D324" s="114"/>
      <c r="E324" s="84"/>
      <c r="F324" s="84"/>
      <c r="G324" s="84"/>
      <c r="H324" s="84"/>
      <c r="I324" s="84"/>
      <c r="J324" s="84"/>
      <c r="K324" s="84"/>
      <c r="L324" s="84"/>
      <c r="M324" s="84"/>
      <c r="N324" s="84"/>
      <c r="O324" s="84"/>
      <c r="P324" s="84"/>
    </row>
    <row r="325" spans="3:16" ht="10.5" customHeight="1">
      <c r="C325" s="84"/>
      <c r="D325" s="114"/>
      <c r="E325" s="84"/>
      <c r="F325" s="84"/>
      <c r="G325" s="84"/>
      <c r="H325" s="84"/>
      <c r="I325" s="84"/>
      <c r="J325" s="84"/>
      <c r="K325" s="84"/>
      <c r="L325" s="84"/>
      <c r="M325" s="84"/>
      <c r="N325" s="84"/>
      <c r="O325" s="84"/>
      <c r="P325" s="84"/>
    </row>
    <row r="326" spans="3:16" ht="18.75" customHeight="1">
      <c r="C326" s="324" t="s">
        <v>44</v>
      </c>
      <c r="D326" s="324"/>
      <c r="E326" s="324"/>
      <c r="F326" s="84" t="s">
        <v>25</v>
      </c>
      <c r="G326" s="84"/>
      <c r="H326" s="326"/>
      <c r="I326" s="326"/>
      <c r="J326" s="84"/>
      <c r="K326" s="310" t="str">
        <f>'Заголовочная часть'!F8</f>
        <v>Е.В.Лопина</v>
      </c>
      <c r="L326" s="310"/>
      <c r="M326" s="310"/>
      <c r="N326" s="310"/>
      <c r="O326" s="84"/>
      <c r="P326" s="84"/>
    </row>
    <row r="327" spans="3:16" ht="16.5" customHeight="1">
      <c r="C327" s="324"/>
      <c r="D327" s="324"/>
      <c r="E327" s="324"/>
      <c r="F327" s="84" t="s">
        <v>42</v>
      </c>
      <c r="G327" s="84"/>
      <c r="H327" s="84"/>
      <c r="I327" s="84"/>
      <c r="J327" s="84"/>
      <c r="K327" s="382" t="s">
        <v>23</v>
      </c>
      <c r="L327" s="382"/>
      <c r="M327" s="382"/>
      <c r="N327" s="382"/>
      <c r="O327" s="84"/>
      <c r="P327" s="84"/>
    </row>
    <row r="328" spans="3:16" ht="18.75">
      <c r="C328" s="84" t="str">
        <f>'Раздел 2 '!B56</f>
        <v>тел. 270-28-91</v>
      </c>
      <c r="D328" s="114"/>
      <c r="E328" s="84"/>
      <c r="F328" s="84"/>
      <c r="G328" s="84"/>
      <c r="H328" s="84"/>
      <c r="I328" s="84"/>
      <c r="J328" s="84"/>
      <c r="K328" s="84"/>
      <c r="L328" s="84"/>
      <c r="M328" s="84"/>
      <c r="N328" s="84"/>
      <c r="O328" s="84"/>
      <c r="P328" s="84"/>
    </row>
    <row r="329" ht="8.25" customHeight="1"/>
    <row r="330" ht="18.75">
      <c r="C330" s="12" t="str">
        <f>'Раздел 1'!A95</f>
        <v>Исполнитель  Доброва Ю.В.</v>
      </c>
    </row>
    <row r="331" ht="16.5" customHeight="1">
      <c r="C331" s="12" t="str">
        <f>'Раздел 1'!A96</f>
        <v>тел.270-24-56</v>
      </c>
    </row>
    <row r="332" ht="6.75" customHeight="1" hidden="1"/>
    <row r="333" ht="3.75" customHeight="1" hidden="1"/>
    <row r="334" ht="18.75">
      <c r="C334" s="12" t="str">
        <f>'Заголовочная часть'!B16</f>
        <v>от "24"  мая    2024 г.</v>
      </c>
    </row>
    <row r="336" spans="2:15" ht="24.75" customHeight="1">
      <c r="B336" s="298" t="s">
        <v>323</v>
      </c>
      <c r="C336" s="298"/>
      <c r="D336" s="298"/>
      <c r="E336" s="298"/>
      <c r="O336" s="198" t="s">
        <v>198</v>
      </c>
    </row>
    <row r="1974" ht="15"/>
  </sheetData>
  <sheetProtection/>
  <mergeCells count="291">
    <mergeCell ref="A283:A286"/>
    <mergeCell ref="A303:A306"/>
    <mergeCell ref="A154:A157"/>
    <mergeCell ref="A169:A172"/>
    <mergeCell ref="A181:A184"/>
    <mergeCell ref="A198:A201"/>
    <mergeCell ref="A215:A218"/>
    <mergeCell ref="A251:A254"/>
    <mergeCell ref="B336:E336"/>
    <mergeCell ref="A8:A10"/>
    <mergeCell ref="A22:A25"/>
    <mergeCell ref="A36:A40"/>
    <mergeCell ref="A48:A51"/>
    <mergeCell ref="A64:A67"/>
    <mergeCell ref="A87:A90"/>
    <mergeCell ref="A107:A110"/>
    <mergeCell ref="A120:A123"/>
    <mergeCell ref="A133:A136"/>
    <mergeCell ref="H322:I322"/>
    <mergeCell ref="K322:N322"/>
    <mergeCell ref="K323:N323"/>
    <mergeCell ref="C326:E327"/>
    <mergeCell ref="H326:I326"/>
    <mergeCell ref="K326:N326"/>
    <mergeCell ref="K327:N327"/>
    <mergeCell ref="G303:G306"/>
    <mergeCell ref="I303:O303"/>
    <mergeCell ref="H304:H306"/>
    <mergeCell ref="I304:K304"/>
    <mergeCell ref="L304:L306"/>
    <mergeCell ref="M304:M306"/>
    <mergeCell ref="N304:O305"/>
    <mergeCell ref="I305:I306"/>
    <mergeCell ref="J305:J306"/>
    <mergeCell ref="K305:K306"/>
    <mergeCell ref="M284:N285"/>
    <mergeCell ref="H285:H286"/>
    <mergeCell ref="I285:I286"/>
    <mergeCell ref="J285:J286"/>
    <mergeCell ref="B301:N301"/>
    <mergeCell ref="B303:B306"/>
    <mergeCell ref="C303:C306"/>
    <mergeCell ref="D303:D306"/>
    <mergeCell ref="E303:E306"/>
    <mergeCell ref="F303:F306"/>
    <mergeCell ref="B283:B286"/>
    <mergeCell ref="C283:C286"/>
    <mergeCell ref="D283:D286"/>
    <mergeCell ref="E283:E286"/>
    <mergeCell ref="F283:F286"/>
    <mergeCell ref="H283:N283"/>
    <mergeCell ref="G284:G286"/>
    <mergeCell ref="H284:J284"/>
    <mergeCell ref="K284:K286"/>
    <mergeCell ref="L284:L286"/>
    <mergeCell ref="L252:L254"/>
    <mergeCell ref="M252:N253"/>
    <mergeCell ref="H253:H254"/>
    <mergeCell ref="I253:I254"/>
    <mergeCell ref="J253:J254"/>
    <mergeCell ref="B281:N281"/>
    <mergeCell ref="B249:N249"/>
    <mergeCell ref="B251:B254"/>
    <mergeCell ref="C251:C254"/>
    <mergeCell ref="D251:D254"/>
    <mergeCell ref="E251:E254"/>
    <mergeCell ref="F251:F254"/>
    <mergeCell ref="G251:G254"/>
    <mergeCell ref="H251:N251"/>
    <mergeCell ref="H252:J252"/>
    <mergeCell ref="K252:K254"/>
    <mergeCell ref="H215:N215"/>
    <mergeCell ref="H216:J216"/>
    <mergeCell ref="K216:K218"/>
    <mergeCell ref="L216:L218"/>
    <mergeCell ref="M216:N217"/>
    <mergeCell ref="H217:H218"/>
    <mergeCell ref="I217:I218"/>
    <mergeCell ref="J217:J218"/>
    <mergeCell ref="B215:B218"/>
    <mergeCell ref="C215:C218"/>
    <mergeCell ref="D215:D218"/>
    <mergeCell ref="E215:E218"/>
    <mergeCell ref="F215:F218"/>
    <mergeCell ref="G215:G218"/>
    <mergeCell ref="L199:L201"/>
    <mergeCell ref="M199:N200"/>
    <mergeCell ref="H200:H201"/>
    <mergeCell ref="I200:I201"/>
    <mergeCell ref="J200:J201"/>
    <mergeCell ref="B213:N213"/>
    <mergeCell ref="B196:N196"/>
    <mergeCell ref="B198:B201"/>
    <mergeCell ref="C198:C201"/>
    <mergeCell ref="D198:D201"/>
    <mergeCell ref="E198:E201"/>
    <mergeCell ref="F198:F201"/>
    <mergeCell ref="H198:N198"/>
    <mergeCell ref="G199:G201"/>
    <mergeCell ref="H199:J199"/>
    <mergeCell ref="K199:K201"/>
    <mergeCell ref="J182:L182"/>
    <mergeCell ref="M182:M184"/>
    <mergeCell ref="N182:N184"/>
    <mergeCell ref="O182:P183"/>
    <mergeCell ref="J183:J184"/>
    <mergeCell ref="K183:K184"/>
    <mergeCell ref="L183:L184"/>
    <mergeCell ref="B179:P179"/>
    <mergeCell ref="B181:B184"/>
    <mergeCell ref="C181:C184"/>
    <mergeCell ref="D181:D184"/>
    <mergeCell ref="E181:E184"/>
    <mergeCell ref="F181:F184"/>
    <mergeCell ref="H181:H184"/>
    <mergeCell ref="I181:I184"/>
    <mergeCell ref="J181:P181"/>
    <mergeCell ref="G182:G184"/>
    <mergeCell ref="L170:L172"/>
    <mergeCell ref="M170:M172"/>
    <mergeCell ref="N170:O171"/>
    <mergeCell ref="I171:I172"/>
    <mergeCell ref="J171:J172"/>
    <mergeCell ref="K171:K172"/>
    <mergeCell ref="B167:N167"/>
    <mergeCell ref="B169:B172"/>
    <mergeCell ref="C169:C172"/>
    <mergeCell ref="D169:D172"/>
    <mergeCell ref="E169:E172"/>
    <mergeCell ref="F169:F172"/>
    <mergeCell ref="G169:G172"/>
    <mergeCell ref="I169:O169"/>
    <mergeCell ref="H170:H172"/>
    <mergeCell ref="I170:K170"/>
    <mergeCell ref="L155:L157"/>
    <mergeCell ref="M155:N156"/>
    <mergeCell ref="H156:H157"/>
    <mergeCell ref="I156:I157"/>
    <mergeCell ref="J156:J157"/>
    <mergeCell ref="B165:N165"/>
    <mergeCell ref="B152:N152"/>
    <mergeCell ref="B154:B157"/>
    <mergeCell ref="C154:C157"/>
    <mergeCell ref="D154:D157"/>
    <mergeCell ref="E154:E157"/>
    <mergeCell ref="F154:F157"/>
    <mergeCell ref="G154:G157"/>
    <mergeCell ref="H154:N154"/>
    <mergeCell ref="H155:J155"/>
    <mergeCell ref="K155:K157"/>
    <mergeCell ref="K134:K136"/>
    <mergeCell ref="L134:L136"/>
    <mergeCell ref="M134:N135"/>
    <mergeCell ref="H135:H136"/>
    <mergeCell ref="I135:I136"/>
    <mergeCell ref="J135:J136"/>
    <mergeCell ref="B129:N129"/>
    <mergeCell ref="B131:N131"/>
    <mergeCell ref="B133:B136"/>
    <mergeCell ref="C133:C136"/>
    <mergeCell ref="D133:D136"/>
    <mergeCell ref="H133:N133"/>
    <mergeCell ref="E134:E136"/>
    <mergeCell ref="F134:F136"/>
    <mergeCell ref="G134:G136"/>
    <mergeCell ref="H134:J134"/>
    <mergeCell ref="H120:N120"/>
    <mergeCell ref="H121:J121"/>
    <mergeCell ref="K121:K123"/>
    <mergeCell ref="L121:L123"/>
    <mergeCell ref="M121:N122"/>
    <mergeCell ref="H122:H123"/>
    <mergeCell ref="I122:I123"/>
    <mergeCell ref="J122:J123"/>
    <mergeCell ref="B120:B123"/>
    <mergeCell ref="C120:C123"/>
    <mergeCell ref="D120:D123"/>
    <mergeCell ref="E120:E123"/>
    <mergeCell ref="F120:F123"/>
    <mergeCell ref="G120:G123"/>
    <mergeCell ref="L108:L110"/>
    <mergeCell ref="M108:N109"/>
    <mergeCell ref="H109:H110"/>
    <mergeCell ref="I109:I110"/>
    <mergeCell ref="J109:J110"/>
    <mergeCell ref="B118:N118"/>
    <mergeCell ref="B105:N105"/>
    <mergeCell ref="B107:B110"/>
    <mergeCell ref="C107:C110"/>
    <mergeCell ref="D107:D110"/>
    <mergeCell ref="E107:E110"/>
    <mergeCell ref="F107:F110"/>
    <mergeCell ref="G107:G110"/>
    <mergeCell ref="H107:N107"/>
    <mergeCell ref="H108:J108"/>
    <mergeCell ref="K108:K110"/>
    <mergeCell ref="K88:K90"/>
    <mergeCell ref="L88:L90"/>
    <mergeCell ref="M88:N89"/>
    <mergeCell ref="H89:H90"/>
    <mergeCell ref="I89:I90"/>
    <mergeCell ref="J89:J90"/>
    <mergeCell ref="B83:N83"/>
    <mergeCell ref="B85:N85"/>
    <mergeCell ref="B87:B90"/>
    <mergeCell ref="C87:C90"/>
    <mergeCell ref="D87:D90"/>
    <mergeCell ref="E87:E90"/>
    <mergeCell ref="F87:F90"/>
    <mergeCell ref="G87:G90"/>
    <mergeCell ref="H87:N87"/>
    <mergeCell ref="H88:J88"/>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4"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4" min="1" max="15" man="1"/>
    <brk id="178" min="1" max="15" man="1"/>
    <brk id="195" min="1" max="15" man="1"/>
    <brk id="248" min="1" max="15" man="1"/>
    <brk id="280"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16">
      <selection activeCell="D26" sqref="D26"/>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3"/>
      <c r="B1" s="383"/>
      <c r="C1" s="383"/>
      <c r="D1" s="2" t="s">
        <v>433</v>
      </c>
    </row>
    <row r="2" spans="1:4" ht="18.75">
      <c r="A2" s="384" t="s">
        <v>434</v>
      </c>
      <c r="B2" s="384"/>
      <c r="C2" s="55" t="str">
        <f>'Заголовочная часть'!B16</f>
        <v>от "24"  мая    2024 г.</v>
      </c>
      <c r="D2" s="55"/>
    </row>
    <row r="3" spans="1:4" ht="15">
      <c r="A3"/>
      <c r="B3"/>
      <c r="C3"/>
      <c r="D3"/>
    </row>
    <row r="4" spans="1:3" ht="18.75">
      <c r="A4" s="56"/>
      <c r="C4" s="56" t="s">
        <v>41</v>
      </c>
    </row>
    <row r="5" spans="1:4" ht="75">
      <c r="A5" s="57" t="s">
        <v>8</v>
      </c>
      <c r="B5" s="57" t="s">
        <v>17</v>
      </c>
      <c r="C5" s="57" t="s">
        <v>435</v>
      </c>
      <c r="D5" s="57" t="s">
        <v>436</v>
      </c>
    </row>
    <row r="6" spans="1:4" ht="18.75">
      <c r="A6" s="57">
        <v>1</v>
      </c>
      <c r="B6" s="57">
        <v>2</v>
      </c>
      <c r="C6" s="57">
        <v>3</v>
      </c>
      <c r="D6" s="57">
        <v>4</v>
      </c>
    </row>
    <row r="7" spans="1:4" ht="20.25" customHeight="1">
      <c r="A7" s="58" t="s">
        <v>437</v>
      </c>
      <c r="B7" s="59"/>
      <c r="C7" s="60">
        <f>C9</f>
        <v>0</v>
      </c>
      <c r="D7" s="61"/>
    </row>
    <row r="8" spans="1:4" ht="21.75" customHeight="1">
      <c r="A8" s="62" t="s">
        <v>438</v>
      </c>
      <c r="B8" s="62"/>
      <c r="C8" s="62"/>
      <c r="D8" s="62"/>
    </row>
    <row r="9" spans="1:4" ht="18.75">
      <c r="A9" s="62" t="s">
        <v>439</v>
      </c>
      <c r="B9" s="57"/>
      <c r="C9" s="63">
        <f>C13</f>
        <v>0</v>
      </c>
      <c r="D9" s="57"/>
    </row>
    <row r="10" spans="1:4" ht="18.75">
      <c r="A10" s="62" t="s">
        <v>14</v>
      </c>
      <c r="B10" s="57"/>
      <c r="C10" s="63"/>
      <c r="D10" s="57"/>
    </row>
    <row r="11" spans="1:4" ht="18.75">
      <c r="A11" s="64" t="s">
        <v>440</v>
      </c>
      <c r="B11" s="57">
        <v>130</v>
      </c>
      <c r="C11" s="63"/>
      <c r="D11" s="57"/>
    </row>
    <row r="12" spans="1:4" ht="18.75">
      <c r="A12" s="65"/>
      <c r="B12" s="57"/>
      <c r="C12" s="66"/>
      <c r="D12" s="57"/>
    </row>
    <row r="13" spans="1:4" ht="18.75">
      <c r="A13" s="62" t="s">
        <v>441</v>
      </c>
      <c r="B13" s="57"/>
      <c r="C13" s="63">
        <f>SUM(C15:C25)</f>
        <v>0</v>
      </c>
      <c r="D13" s="57"/>
    </row>
    <row r="14" spans="1:4" ht="18.75">
      <c r="A14" s="62" t="s">
        <v>14</v>
      </c>
      <c r="B14" s="57"/>
      <c r="C14" s="63"/>
      <c r="D14" s="57"/>
    </row>
    <row r="15" spans="1:4" ht="18.75" hidden="1">
      <c r="A15" s="36" t="s">
        <v>470</v>
      </c>
      <c r="B15" s="57">
        <v>111</v>
      </c>
      <c r="C15" s="16"/>
      <c r="D15" s="57"/>
    </row>
    <row r="16" spans="1:4" ht="18.75">
      <c r="A16" s="36" t="s">
        <v>470</v>
      </c>
      <c r="B16" s="57">
        <v>111</v>
      </c>
      <c r="C16" s="16"/>
      <c r="D16" s="31"/>
    </row>
    <row r="17" spans="1:4" ht="18.75">
      <c r="A17" s="36" t="s">
        <v>73</v>
      </c>
      <c r="B17" s="57">
        <v>113</v>
      </c>
      <c r="C17" s="16"/>
      <c r="D17" s="31"/>
    </row>
    <row r="18" spans="1:4" ht="31.5">
      <c r="A18" s="36" t="s">
        <v>73</v>
      </c>
      <c r="B18" s="57">
        <v>112</v>
      </c>
      <c r="C18" s="16"/>
      <c r="D18" s="27"/>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c r="D23" s="57"/>
    </row>
    <row r="24" spans="1:4" ht="18.75">
      <c r="A24" s="41" t="s">
        <v>89</v>
      </c>
      <c r="B24" s="57">
        <v>244</v>
      </c>
      <c r="C24" s="57"/>
      <c r="D24" s="57"/>
    </row>
    <row r="25" spans="1:4" ht="18.75">
      <c r="A25" s="36" t="s">
        <v>241</v>
      </c>
      <c r="B25" s="57">
        <v>247</v>
      </c>
      <c r="C25" s="16"/>
      <c r="D25" s="57"/>
    </row>
    <row r="26" spans="1:4" ht="31.5">
      <c r="A26" s="36" t="s">
        <v>75</v>
      </c>
      <c r="B26" s="57">
        <v>321</v>
      </c>
      <c r="C26" s="57">
        <v>3866.56</v>
      </c>
      <c r="D26" s="57" t="s">
        <v>593</v>
      </c>
    </row>
    <row r="27" spans="1:4" ht="18.75">
      <c r="A27" s="62" t="s">
        <v>442</v>
      </c>
      <c r="B27" s="57"/>
      <c r="C27" s="57"/>
      <c r="D27" s="57"/>
    </row>
    <row r="28" spans="1:4" ht="37.5">
      <c r="A28" s="58" t="s">
        <v>443</v>
      </c>
      <c r="B28" s="59"/>
      <c r="C28" s="59"/>
      <c r="D28" s="61"/>
    </row>
    <row r="29" spans="1:4" ht="18.75">
      <c r="A29" s="62" t="s">
        <v>438</v>
      </c>
      <c r="B29" s="62"/>
      <c r="C29" s="62"/>
      <c r="D29" s="62"/>
    </row>
    <row r="30" spans="1:4" ht="18.75">
      <c r="A30" s="62" t="s">
        <v>439</v>
      </c>
      <c r="B30" s="57"/>
      <c r="C30" s="63"/>
      <c r="D30" s="57"/>
    </row>
    <row r="31" spans="1:4" ht="18.75">
      <c r="A31" s="62" t="s">
        <v>14</v>
      </c>
      <c r="B31" s="57"/>
      <c r="C31" s="57"/>
      <c r="D31" s="57"/>
    </row>
    <row r="32" spans="1:4" ht="18.75">
      <c r="A32" s="64" t="s">
        <v>440</v>
      </c>
      <c r="B32" s="57">
        <v>130</v>
      </c>
      <c r="C32" s="63"/>
      <c r="D32" s="57"/>
    </row>
    <row r="33" spans="1:4" ht="18.75">
      <c r="A33" s="62"/>
      <c r="B33" s="57"/>
      <c r="C33" s="57"/>
      <c r="D33" s="57"/>
    </row>
    <row r="34" spans="1:4" ht="18.75">
      <c r="A34" s="62" t="s">
        <v>441</v>
      </c>
      <c r="B34" s="57"/>
      <c r="C34" s="63"/>
      <c r="D34" s="57"/>
    </row>
    <row r="35" spans="1:4" ht="18.75">
      <c r="A35" s="62" t="s">
        <v>14</v>
      </c>
      <c r="B35" s="57"/>
      <c r="C35" s="68"/>
      <c r="D35" s="68"/>
    </row>
    <row r="36" spans="1:4" ht="18.75">
      <c r="A36" s="36" t="s">
        <v>470</v>
      </c>
      <c r="B36" s="70">
        <v>111</v>
      </c>
      <c r="C36" s="243"/>
      <c r="D36" s="64"/>
    </row>
    <row r="37" spans="1:4" ht="18.75">
      <c r="A37" s="36" t="s">
        <v>73</v>
      </c>
      <c r="B37" s="57">
        <v>112</v>
      </c>
      <c r="C37" s="16"/>
      <c r="D37" s="57"/>
    </row>
    <row r="38" spans="1:4" ht="18.75">
      <c r="A38" s="36" t="s">
        <v>471</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442</v>
      </c>
      <c r="B46" s="57"/>
      <c r="C46" s="69"/>
      <c r="D46" s="69"/>
    </row>
    <row r="47" spans="1:4" ht="54" customHeight="1">
      <c r="A47" s="58" t="s">
        <v>444</v>
      </c>
      <c r="B47" s="59"/>
      <c r="C47" s="59"/>
      <c r="D47" s="61"/>
    </row>
    <row r="48" spans="1:4" ht="18.75">
      <c r="A48" s="62" t="s">
        <v>438</v>
      </c>
      <c r="B48" s="62"/>
      <c r="C48" s="62"/>
      <c r="D48" s="62"/>
    </row>
    <row r="49" spans="1:4" ht="18.75">
      <c r="A49" s="62" t="s">
        <v>439</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441</v>
      </c>
      <c r="B53" s="57"/>
      <c r="C53" s="63"/>
      <c r="D53" s="57"/>
    </row>
    <row r="54" spans="1:4" ht="18.75">
      <c r="A54" s="62" t="s">
        <v>14</v>
      </c>
      <c r="B54" s="57"/>
      <c r="C54" s="63"/>
      <c r="D54" s="57"/>
    </row>
    <row r="55" spans="1:4" ht="26.25" customHeight="1">
      <c r="A55" s="36" t="s">
        <v>470</v>
      </c>
      <c r="B55" s="57">
        <v>111</v>
      </c>
      <c r="C55" s="16"/>
      <c r="D55" s="31"/>
    </row>
    <row r="56" spans="1:4" ht="18.75">
      <c r="A56" s="36" t="s">
        <v>73</v>
      </c>
      <c r="B56" s="57">
        <v>113</v>
      </c>
      <c r="C56" s="16"/>
      <c r="D56" s="31"/>
    </row>
    <row r="57" spans="1:4" ht="31.5" customHeight="1">
      <c r="A57" s="36" t="s">
        <v>73</v>
      </c>
      <c r="B57" s="57">
        <v>112</v>
      </c>
      <c r="C57" s="16"/>
      <c r="D57" s="27"/>
    </row>
    <row r="58" spans="1:4" ht="35.25" customHeight="1">
      <c r="A58" s="36" t="s">
        <v>75</v>
      </c>
      <c r="B58" s="57">
        <v>321</v>
      </c>
      <c r="C58" s="57">
        <v>3866.56</v>
      </c>
      <c r="D58" s="57" t="s">
        <v>593</v>
      </c>
    </row>
    <row r="59" spans="1:4" ht="18.75">
      <c r="A59" s="67" t="s">
        <v>86</v>
      </c>
      <c r="B59" s="57">
        <v>244</v>
      </c>
      <c r="C59" s="16"/>
      <c r="D59" s="57"/>
    </row>
    <row r="60" spans="1:4" ht="31.5" customHeight="1">
      <c r="A60" s="41" t="s">
        <v>88</v>
      </c>
      <c r="B60" s="57">
        <v>244</v>
      </c>
      <c r="C60" s="16"/>
      <c r="D60" s="57"/>
    </row>
    <row r="61" spans="1:4" ht="18.75">
      <c r="A61" s="41" t="s">
        <v>89</v>
      </c>
      <c r="B61" s="57">
        <v>244</v>
      </c>
      <c r="C61" s="57"/>
      <c r="D61" s="57"/>
    </row>
    <row r="62" spans="1:4" ht="18.75">
      <c r="A62" s="36" t="s">
        <v>241</v>
      </c>
      <c r="B62" s="57">
        <v>247</v>
      </c>
      <c r="C62" s="16"/>
      <c r="D62" s="57"/>
    </row>
    <row r="63" spans="1:4" ht="18.75" hidden="1">
      <c r="A63" s="58" t="s">
        <v>445</v>
      </c>
      <c r="B63" s="59"/>
      <c r="C63" s="59"/>
      <c r="D63" s="61"/>
    </row>
    <row r="64" spans="1:4" ht="18.75" hidden="1">
      <c r="A64" s="62" t="s">
        <v>438</v>
      </c>
      <c r="B64" s="62"/>
      <c r="C64" s="62"/>
      <c r="D64" s="62"/>
    </row>
    <row r="65" spans="1:4" ht="18.75" hidden="1">
      <c r="A65" s="62" t="s">
        <v>439</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441</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442</v>
      </c>
      <c r="B73" s="57"/>
      <c r="C73" s="57"/>
      <c r="D73" s="57"/>
    </row>
    <row r="74" spans="1:4" ht="56.25" hidden="1">
      <c r="A74" s="58" t="s">
        <v>18</v>
      </c>
      <c r="B74" s="59"/>
      <c r="C74" s="59"/>
      <c r="D74" s="61"/>
    </row>
    <row r="75" spans="1:4" ht="18.75" hidden="1">
      <c r="A75" s="62" t="s">
        <v>438</v>
      </c>
      <c r="B75" s="62"/>
      <c r="C75" s="62"/>
      <c r="D75" s="62"/>
    </row>
    <row r="76" spans="1:4" ht="18.75" hidden="1">
      <c r="A76" s="62" t="s">
        <v>439</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441</v>
      </c>
      <c r="B80" s="57"/>
      <c r="C80" s="63"/>
      <c r="D80" s="57"/>
    </row>
    <row r="81" spans="1:4" ht="18.75" hidden="1">
      <c r="A81" s="62" t="s">
        <v>14</v>
      </c>
      <c r="B81" s="57"/>
      <c r="C81" s="57"/>
      <c r="D81" s="57"/>
    </row>
    <row r="82" spans="1:4" ht="18.75" hidden="1">
      <c r="A82" s="41" t="s">
        <v>89</v>
      </c>
      <c r="B82" s="57">
        <v>244</v>
      </c>
      <c r="C82" s="57"/>
      <c r="D82" s="57" t="s">
        <v>535</v>
      </c>
    </row>
    <row r="83" spans="1:4" ht="18.75" hidden="1">
      <c r="A83" s="62"/>
      <c r="B83" s="57"/>
      <c r="C83" s="57"/>
      <c r="D83" s="57"/>
    </row>
    <row r="84" spans="1:4" ht="18.75">
      <c r="A84" s="62" t="s">
        <v>442</v>
      </c>
      <c r="B84" s="57"/>
      <c r="C84" s="57"/>
      <c r="D84" s="57"/>
    </row>
    <row r="85" spans="1:4" ht="18.75">
      <c r="A85" s="385" t="s">
        <v>446</v>
      </c>
      <c r="B85" s="385"/>
      <c r="C85" s="385"/>
      <c r="D85" s="385"/>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47">
      <selection activeCell="T80" sqref="T80"/>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06" t="s">
        <v>199</v>
      </c>
      <c r="B1" s="307"/>
      <c r="C1" s="307"/>
      <c r="D1" s="307"/>
      <c r="E1" s="307"/>
      <c r="F1" s="307"/>
      <c r="G1" s="307"/>
      <c r="I1" s="306" t="s">
        <v>199</v>
      </c>
      <c r="J1" s="307"/>
      <c r="K1" s="307"/>
      <c r="L1" s="307"/>
      <c r="M1" s="307"/>
      <c r="N1" s="307"/>
      <c r="O1" s="307"/>
      <c r="Q1" s="306" t="s">
        <v>199</v>
      </c>
      <c r="R1" s="307"/>
      <c r="S1" s="307"/>
      <c r="T1" s="307"/>
      <c r="U1" s="307"/>
      <c r="V1" s="307"/>
      <c r="W1" s="307"/>
      <c r="Y1" s="306" t="s">
        <v>199</v>
      </c>
      <c r="Z1" s="307"/>
      <c r="AA1" s="307"/>
      <c r="AB1" s="307"/>
      <c r="AC1" s="307"/>
      <c r="AD1" s="307"/>
      <c r="AE1" s="307"/>
      <c r="AG1" s="306" t="s">
        <v>199</v>
      </c>
      <c r="AH1" s="307"/>
      <c r="AI1" s="307"/>
      <c r="AJ1" s="307"/>
      <c r="AK1" s="307"/>
      <c r="AL1" s="307"/>
      <c r="AM1" s="307"/>
    </row>
    <row r="2" spans="1:39" ht="24.75" customHeight="1">
      <c r="A2" s="29"/>
      <c r="B2" s="29"/>
      <c r="C2" s="30"/>
      <c r="D2" s="29"/>
      <c r="E2" s="29"/>
      <c r="F2" s="29"/>
      <c r="G2" s="29"/>
      <c r="I2" s="314" t="s">
        <v>97</v>
      </c>
      <c r="J2" s="314"/>
      <c r="K2" s="314"/>
      <c r="L2" s="314"/>
      <c r="M2" s="314"/>
      <c r="N2" s="314"/>
      <c r="O2" s="314"/>
      <c r="Q2" s="314" t="s">
        <v>98</v>
      </c>
      <c r="R2" s="314"/>
      <c r="S2" s="314"/>
      <c r="T2" s="314"/>
      <c r="U2" s="314"/>
      <c r="V2" s="314"/>
      <c r="W2" s="314"/>
      <c r="Y2" s="316" t="s">
        <v>99</v>
      </c>
      <c r="Z2" s="316"/>
      <c r="AA2" s="316"/>
      <c r="AB2" s="316"/>
      <c r="AC2" s="316"/>
      <c r="AD2" s="316"/>
      <c r="AE2" s="316"/>
      <c r="AG2" s="316" t="s">
        <v>265</v>
      </c>
      <c r="AH2" s="316"/>
      <c r="AI2" s="316"/>
      <c r="AJ2" s="316"/>
      <c r="AK2" s="316"/>
      <c r="AL2" s="316"/>
      <c r="AM2" s="316"/>
    </row>
    <row r="3" spans="1:39" ht="21" customHeight="1">
      <c r="A3" s="308" t="s">
        <v>8</v>
      </c>
      <c r="B3" s="308" t="s">
        <v>15</v>
      </c>
      <c r="C3" s="309" t="s">
        <v>325</v>
      </c>
      <c r="D3" s="309" t="s">
        <v>62</v>
      </c>
      <c r="E3" s="309"/>
      <c r="F3" s="309"/>
      <c r="G3" s="309"/>
      <c r="I3" s="308" t="s">
        <v>8</v>
      </c>
      <c r="J3" s="308" t="s">
        <v>15</v>
      </c>
      <c r="K3" s="308" t="str">
        <f>C3</f>
        <v>Код по бюджетной классификации Российской Федерации &lt;*&gt;</v>
      </c>
      <c r="L3" s="308" t="s">
        <v>62</v>
      </c>
      <c r="M3" s="308"/>
      <c r="N3" s="308"/>
      <c r="O3" s="308"/>
      <c r="Q3" s="308" t="s">
        <v>8</v>
      </c>
      <c r="R3" s="308" t="s">
        <v>15</v>
      </c>
      <c r="S3" s="308" t="str">
        <f>C3</f>
        <v>Код по бюджетной классификации Российской Федерации &lt;*&gt;</v>
      </c>
      <c r="T3" s="308" t="s">
        <v>62</v>
      </c>
      <c r="U3" s="308"/>
      <c r="V3" s="308"/>
      <c r="W3" s="308"/>
      <c r="Y3" s="308" t="s">
        <v>8</v>
      </c>
      <c r="Z3" s="308" t="s">
        <v>15</v>
      </c>
      <c r="AA3" s="308" t="str">
        <f>C3</f>
        <v>Код по бюджетной классификации Российской Федерации &lt;*&gt;</v>
      </c>
      <c r="AB3" s="308" t="s">
        <v>62</v>
      </c>
      <c r="AC3" s="308"/>
      <c r="AD3" s="308"/>
      <c r="AE3" s="308"/>
      <c r="AG3" s="308" t="s">
        <v>8</v>
      </c>
      <c r="AH3" s="308" t="s">
        <v>15</v>
      </c>
      <c r="AI3" s="308" t="str">
        <f>C3</f>
        <v>Код по бюджетной классификации Российской Федерации &lt;*&gt;</v>
      </c>
      <c r="AJ3" s="308" t="s">
        <v>62</v>
      </c>
      <c r="AK3" s="308"/>
      <c r="AL3" s="308"/>
      <c r="AM3" s="308"/>
    </row>
    <row r="4" spans="1:39" ht="128.25" customHeight="1">
      <c r="A4" s="308"/>
      <c r="B4" s="308"/>
      <c r="C4" s="309"/>
      <c r="D4" s="31" t="s">
        <v>547</v>
      </c>
      <c r="E4" s="31" t="s">
        <v>548</v>
      </c>
      <c r="F4" s="31" t="s">
        <v>549</v>
      </c>
      <c r="G4" s="31" t="s">
        <v>63</v>
      </c>
      <c r="I4" s="308"/>
      <c r="J4" s="308"/>
      <c r="K4" s="308"/>
      <c r="L4" s="31" t="str">
        <f>D4</f>
        <v>на 2024 г. (текущий финансовый год)</v>
      </c>
      <c r="M4" s="31" t="str">
        <f>E4</f>
        <v>на 2025 г.                 (1-ый год планового периода)</v>
      </c>
      <c r="N4" s="31" t="str">
        <f>F4</f>
        <v>на 2026 г.                   (2-ой год планового периода)</v>
      </c>
      <c r="O4" s="31" t="s">
        <v>63</v>
      </c>
      <c r="Q4" s="308"/>
      <c r="R4" s="308"/>
      <c r="S4" s="308"/>
      <c r="T4" s="31" t="str">
        <f>L4</f>
        <v>на 2024 г. (текущий финансовый год)</v>
      </c>
      <c r="U4" s="31" t="str">
        <f>M4</f>
        <v>на 2025 г.                 (1-ый год планового периода)</v>
      </c>
      <c r="V4" s="31" t="str">
        <f>N4</f>
        <v>на 2026 г.                   (2-ой год планового периода)</v>
      </c>
      <c r="W4" s="31" t="s">
        <v>63</v>
      </c>
      <c r="Y4" s="308"/>
      <c r="Z4" s="308"/>
      <c r="AA4" s="308"/>
      <c r="AB4" s="31" t="str">
        <f>T4</f>
        <v>на 2024 г. (текущий финансовый год)</v>
      </c>
      <c r="AC4" s="31" t="str">
        <f>U4</f>
        <v>на 2025 г.                 (1-ый год планового периода)</v>
      </c>
      <c r="AD4" s="31" t="str">
        <f>V4</f>
        <v>на 2026 г.                   (2-ой год планового периода)</v>
      </c>
      <c r="AE4" s="31" t="s">
        <v>63</v>
      </c>
      <c r="AG4" s="308"/>
      <c r="AH4" s="308"/>
      <c r="AI4" s="308"/>
      <c r="AJ4" s="31" t="str">
        <f>AB4</f>
        <v>на 2024 г. (текущий финансовый год)</v>
      </c>
      <c r="AK4" s="31" t="str">
        <f>AC4</f>
        <v>на 2025 г.                 (1-ый год планового периода)</v>
      </c>
      <c r="AL4" s="31" t="str">
        <f>AD4</f>
        <v>на 2026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478</v>
      </c>
      <c r="B6" s="102" t="s">
        <v>22</v>
      </c>
      <c r="C6" s="31" t="s">
        <v>203</v>
      </c>
      <c r="D6" s="97">
        <f>L6+T6+AB6+AJ6</f>
        <v>191777.65</v>
      </c>
      <c r="E6" s="97">
        <f>M6+U6+AC6+AK6</f>
        <v>0</v>
      </c>
      <c r="F6" s="97">
        <f>N6+V6+AD6+AL6</f>
        <v>0</v>
      </c>
      <c r="G6" s="97">
        <f>O6+W6+AE6+AM6</f>
        <v>0</v>
      </c>
      <c r="I6" s="90" t="s">
        <v>478</v>
      </c>
      <c r="J6" s="102" t="s">
        <v>22</v>
      </c>
      <c r="K6" s="31" t="s">
        <v>203</v>
      </c>
      <c r="L6" s="97">
        <v>5807.19</v>
      </c>
      <c r="M6" s="97"/>
      <c r="N6" s="97"/>
      <c r="O6" s="97"/>
      <c r="Q6" s="90" t="s">
        <v>478</v>
      </c>
      <c r="R6" s="102" t="s">
        <v>22</v>
      </c>
      <c r="S6" s="31" t="s">
        <v>203</v>
      </c>
      <c r="T6" s="97">
        <v>184626.27</v>
      </c>
      <c r="U6" s="97"/>
      <c r="V6" s="97"/>
      <c r="W6" s="97"/>
      <c r="Y6" s="90" t="s">
        <v>478</v>
      </c>
      <c r="Z6" s="102" t="s">
        <v>22</v>
      </c>
      <c r="AA6" s="31" t="s">
        <v>203</v>
      </c>
      <c r="AB6" s="97">
        <f>'Иные цели'!D6</f>
        <v>1248.09</v>
      </c>
      <c r="AC6" s="97"/>
      <c r="AD6" s="97"/>
      <c r="AE6" s="97"/>
      <c r="AG6" s="90" t="s">
        <v>478</v>
      </c>
      <c r="AH6" s="102" t="s">
        <v>22</v>
      </c>
      <c r="AI6" s="31" t="s">
        <v>203</v>
      </c>
      <c r="AJ6" s="97">
        <f>96.1</f>
        <v>96.1</v>
      </c>
      <c r="AK6" s="97"/>
      <c r="AL6" s="97"/>
      <c r="AM6" s="97"/>
      <c r="AO6" s="103"/>
    </row>
    <row r="7" spans="1:39" s="98" customFormat="1" ht="39" customHeight="1">
      <c r="A7" s="28" t="s">
        <v>218</v>
      </c>
      <c r="B7" s="102" t="s">
        <v>64</v>
      </c>
      <c r="C7" s="31" t="s">
        <v>203</v>
      </c>
      <c r="D7" s="97">
        <f>L7+T7+AB7+AJ7</f>
        <v>0</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c r="AK7" s="97"/>
      <c r="AL7" s="97"/>
      <c r="AM7" s="31"/>
    </row>
    <row r="8" spans="1:39" s="98" customFormat="1" ht="21.75" customHeight="1">
      <c r="A8" s="90" t="s">
        <v>479</v>
      </c>
      <c r="B8" s="102" t="s">
        <v>93</v>
      </c>
      <c r="C8" s="31" t="s">
        <v>203</v>
      </c>
      <c r="D8" s="97">
        <f>L8+T8+AB8+AJ8</f>
        <v>-2.011574906646274E-09</v>
      </c>
      <c r="E8" s="97">
        <f>E6+E10-E41-E90</f>
        <v>0</v>
      </c>
      <c r="F8" s="97">
        <f>F6+F10-F41-F90</f>
        <v>0</v>
      </c>
      <c r="G8" s="97">
        <f>G6+G10-G41-G90</f>
        <v>0</v>
      </c>
      <c r="I8" s="90" t="s">
        <v>479</v>
      </c>
      <c r="J8" s="102" t="s">
        <v>93</v>
      </c>
      <c r="K8" s="31" t="s">
        <v>203</v>
      </c>
      <c r="L8" s="97">
        <f>L6+L10-L41-L90</f>
        <v>0</v>
      </c>
      <c r="M8" s="97">
        <f>M6+M10-M41-M90</f>
        <v>0</v>
      </c>
      <c r="N8" s="97">
        <f>N6+N10-N41-N90</f>
        <v>0</v>
      </c>
      <c r="O8" s="97">
        <f>O6+O10-O41-O90</f>
        <v>0</v>
      </c>
      <c r="Q8" s="90" t="s">
        <v>479</v>
      </c>
      <c r="R8" s="102" t="s">
        <v>93</v>
      </c>
      <c r="S8" s="31" t="s">
        <v>203</v>
      </c>
      <c r="T8" s="97">
        <f>T6+T10-T41-T90</f>
        <v>0</v>
      </c>
      <c r="U8" s="97">
        <f>U6+U10-U41-U90</f>
        <v>0</v>
      </c>
      <c r="V8" s="97">
        <f>V6+V10-V41-V90</f>
        <v>0</v>
      </c>
      <c r="W8" s="97">
        <f>W6+W10-W41-W90</f>
        <v>0</v>
      </c>
      <c r="Y8" s="90" t="s">
        <v>479</v>
      </c>
      <c r="Z8" s="102" t="s">
        <v>93</v>
      </c>
      <c r="AA8" s="31" t="s">
        <v>203</v>
      </c>
      <c r="AB8" s="97">
        <f>AB6+AB10-AB41-AB90</f>
        <v>-2.011574906646274E-09</v>
      </c>
      <c r="AC8" s="97">
        <f>AC6+AC10-AC41-AC90</f>
        <v>0</v>
      </c>
      <c r="AD8" s="97">
        <f>AD6+AD10-AD41-AD90</f>
        <v>0</v>
      </c>
      <c r="AE8" s="97">
        <f>AE6+AE10-AE41-AE90</f>
        <v>0</v>
      </c>
      <c r="AG8" s="90" t="s">
        <v>479</v>
      </c>
      <c r="AH8" s="102" t="s">
        <v>93</v>
      </c>
      <c r="AI8" s="31" t="s">
        <v>203</v>
      </c>
      <c r="AJ8" s="97">
        <f>AJ6+AJ10-AJ41-AJ90</f>
        <v>0</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50127617.56</v>
      </c>
      <c r="E10" s="40">
        <f>E11+E17+E22+E25+E29+E34+E37</f>
        <v>39385200</v>
      </c>
      <c r="F10" s="40">
        <f>F11+F17+F22+F25+F29+F34+F37</f>
        <v>39385200</v>
      </c>
      <c r="G10" s="40">
        <f>G11+G17+G22+G25+G29+G34+G37</f>
        <v>0</v>
      </c>
      <c r="I10" s="65" t="s">
        <v>200</v>
      </c>
      <c r="J10" s="72">
        <v>1000</v>
      </c>
      <c r="K10" s="72" t="s">
        <v>203</v>
      </c>
      <c r="L10" s="40">
        <f>L11+L17+L22+L25+L29+L34+L37</f>
        <v>9522900</v>
      </c>
      <c r="M10" s="40">
        <f>M11+M17+M22+M25+M29+M34+M37</f>
        <v>9522900</v>
      </c>
      <c r="N10" s="40">
        <f>N11+N17+N22+N25+N29+N34+N37</f>
        <v>9522900</v>
      </c>
      <c r="O10" s="40">
        <f>O11+O17+O22+O25+O29+O34+O37</f>
        <v>0</v>
      </c>
      <c r="Q10" s="65" t="s">
        <v>200</v>
      </c>
      <c r="R10" s="72">
        <v>1000</v>
      </c>
      <c r="S10" s="72" t="s">
        <v>203</v>
      </c>
      <c r="T10" s="40">
        <f>T11+T17+T22+T25+T29+T34+T37</f>
        <v>26087300.000000004</v>
      </c>
      <c r="U10" s="40">
        <f>U11+U17+U22+U25+U29+U34+U37</f>
        <v>26087300</v>
      </c>
      <c r="V10" s="40">
        <f>V11+V17+V22+V25+V29+V34+V37</f>
        <v>26087300</v>
      </c>
      <c r="W10" s="40">
        <f>W11+W17+W22+W25+W29+W34+W37</f>
        <v>0</v>
      </c>
      <c r="Y10" s="65" t="s">
        <v>200</v>
      </c>
      <c r="Z10" s="72">
        <v>1000</v>
      </c>
      <c r="AA10" s="72" t="s">
        <v>203</v>
      </c>
      <c r="AB10" s="40">
        <f>AB11+AB17+AB22+AB25+AB29+AB34+AB37</f>
        <v>10742117.559999999</v>
      </c>
      <c r="AC10" s="40">
        <f>AC11+AC17+AC22+AC25+AC29+AC34+AC37</f>
        <v>0</v>
      </c>
      <c r="AD10" s="40">
        <f>AD11+AD17+AD22+AD25+AD29+AD34+AD37</f>
        <v>0</v>
      </c>
      <c r="AE10" s="40">
        <f>AE11+AE17+AE22+AE25+AE29+AE34+AE37</f>
        <v>0</v>
      </c>
      <c r="AG10" s="65" t="s">
        <v>200</v>
      </c>
      <c r="AH10" s="72">
        <v>1000</v>
      </c>
      <c r="AI10" s="72" t="s">
        <v>203</v>
      </c>
      <c r="AJ10" s="40">
        <f>AJ11+AJ17+AJ22+AJ25+AJ29+AJ34+AJ37</f>
        <v>3775300</v>
      </c>
      <c r="AK10" s="40">
        <f>AK11+AK17+AK22+AK25+AK29+AK34+AK37</f>
        <v>3775000</v>
      </c>
      <c r="AL10" s="40">
        <f>AL11+AL17+AL22+AL25+AL29+AL34+AL37</f>
        <v>3775000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39385500</v>
      </c>
      <c r="E17" s="40">
        <f>E18+E19+E20+E21</f>
        <v>39385200</v>
      </c>
      <c r="F17" s="40">
        <f>F18+F19+F20+F21</f>
        <v>39385200</v>
      </c>
      <c r="G17" s="40">
        <f>G18+G19+G20+G21</f>
        <v>0</v>
      </c>
      <c r="I17" s="28" t="s">
        <v>201</v>
      </c>
      <c r="J17" s="91">
        <v>1200</v>
      </c>
      <c r="K17" s="72">
        <v>130</v>
      </c>
      <c r="L17" s="40">
        <f>L18+L19+L20+L21</f>
        <v>9522900</v>
      </c>
      <c r="M17" s="40">
        <f>M18+M19+M20+M21</f>
        <v>9522900</v>
      </c>
      <c r="N17" s="40">
        <f>N18+N19+N20+N21</f>
        <v>9522900</v>
      </c>
      <c r="O17" s="40">
        <f>O18+O19+O20+O21</f>
        <v>0</v>
      </c>
      <c r="Q17" s="28" t="s">
        <v>201</v>
      </c>
      <c r="R17" s="91">
        <v>1200</v>
      </c>
      <c r="S17" s="72">
        <v>130</v>
      </c>
      <c r="T17" s="40">
        <f>T18+T19+T20+T21</f>
        <v>26087300.000000004</v>
      </c>
      <c r="U17" s="40">
        <f>U18+U19+U20+U21</f>
        <v>26087300</v>
      </c>
      <c r="V17" s="40">
        <f>V18+V19+V20+V21</f>
        <v>26087300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3775300</v>
      </c>
      <c r="AK17" s="40">
        <f>AK18+AK19+AK20+AK21</f>
        <v>3775000</v>
      </c>
      <c r="AL17" s="40">
        <f>AL18+AL19+AL20+AL21</f>
        <v>3775000</v>
      </c>
      <c r="AM17" s="40">
        <f>AM18+AM19+AM20+AM21</f>
        <v>0</v>
      </c>
    </row>
    <row r="18" spans="1:39" ht="48.75" customHeight="1">
      <c r="A18" s="36" t="s">
        <v>205</v>
      </c>
      <c r="B18" s="72">
        <v>1210</v>
      </c>
      <c r="C18" s="26">
        <v>130</v>
      </c>
      <c r="D18" s="40">
        <f>L18+T18+AB18+AJ18</f>
        <v>35610200</v>
      </c>
      <c r="E18" s="40">
        <f aca="true" t="shared" si="3" ref="E18:G21">M18+U18+AC18+AK18</f>
        <v>35610200</v>
      </c>
      <c r="F18" s="40">
        <f t="shared" si="3"/>
        <v>35610200</v>
      </c>
      <c r="G18" s="40">
        <f t="shared" si="3"/>
        <v>0</v>
      </c>
      <c r="I18" s="36" t="s">
        <v>205</v>
      </c>
      <c r="J18" s="72">
        <v>1210</v>
      </c>
      <c r="K18" s="26">
        <v>130</v>
      </c>
      <c r="L18" s="40">
        <f>L41-L6</f>
        <v>9522900</v>
      </c>
      <c r="M18" s="40">
        <f>M41-M6</f>
        <v>9522900</v>
      </c>
      <c r="N18" s="40">
        <f>N41-N6</f>
        <v>9522900</v>
      </c>
      <c r="O18" s="40">
        <f>O41</f>
        <v>0</v>
      </c>
      <c r="Q18" s="36" t="s">
        <v>205</v>
      </c>
      <c r="R18" s="72">
        <v>1210</v>
      </c>
      <c r="S18" s="26">
        <v>130</v>
      </c>
      <c r="T18" s="40">
        <f>T41-T6</f>
        <v>26087300.000000004</v>
      </c>
      <c r="U18" s="40">
        <f>U41-U6</f>
        <v>26087300</v>
      </c>
      <c r="V18" s="40">
        <f>V41-V6</f>
        <v>26087300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3775300</v>
      </c>
      <c r="E19" s="40">
        <f t="shared" si="3"/>
        <v>3775000</v>
      </c>
      <c r="F19" s="40">
        <f t="shared" si="3"/>
        <v>3775000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3775300</v>
      </c>
      <c r="AK19" s="40">
        <f>AK41-AK6</f>
        <v>3775000</v>
      </c>
      <c r="AL19" s="40">
        <f>AL41-AL6</f>
        <v>3775000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10742117.559999999</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10742117.559999999</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10742117.559999999</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10742117.559999999</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50318147.120000005</v>
      </c>
      <c r="E41" s="40">
        <f>E42+E47+E52+E57+E59+E61</f>
        <v>39385200</v>
      </c>
      <c r="F41" s="40">
        <f>F42+F47+F52+F57+F59+F61</f>
        <v>39385200</v>
      </c>
      <c r="G41" s="40">
        <f>G42+G47+G52+G57+G59+G61</f>
        <v>0</v>
      </c>
      <c r="I41" s="65" t="s">
        <v>220</v>
      </c>
      <c r="J41" s="72">
        <v>2000</v>
      </c>
      <c r="K41" s="72" t="s">
        <v>203</v>
      </c>
      <c r="L41" s="40">
        <f>L42+L47+L52+L57+L59+L61</f>
        <v>9528707.19</v>
      </c>
      <c r="M41" s="40">
        <f>M42+M47+M52+M57+M59+M61</f>
        <v>9522900</v>
      </c>
      <c r="N41" s="40">
        <f>N42+N47+N52+N57+N59+N61</f>
        <v>9522900</v>
      </c>
      <c r="O41" s="40">
        <f>O42+O47+O52+O57+O59+O61</f>
        <v>0</v>
      </c>
      <c r="Q41" s="65" t="s">
        <v>220</v>
      </c>
      <c r="R41" s="72">
        <v>2000</v>
      </c>
      <c r="S41" s="72" t="s">
        <v>203</v>
      </c>
      <c r="T41" s="40">
        <f>T42+T47+T52+T57+T59+T61</f>
        <v>26271926.270000003</v>
      </c>
      <c r="U41" s="40">
        <f>U42+U47+U52+U57+U59+U61</f>
        <v>26087300</v>
      </c>
      <c r="V41" s="40">
        <f>V42+V47+V52+V57+V59+V61</f>
        <v>26087300</v>
      </c>
      <c r="W41" s="40">
        <f>W42+W47+W52+W57+W59+W61</f>
        <v>0</v>
      </c>
      <c r="Y41" s="65" t="s">
        <v>220</v>
      </c>
      <c r="Z41" s="72">
        <v>2000</v>
      </c>
      <c r="AA41" s="72" t="s">
        <v>203</v>
      </c>
      <c r="AB41" s="40">
        <f>AB42+AB47+AB52+AB57+AB59+AB61</f>
        <v>10742117.56</v>
      </c>
      <c r="AC41" s="40">
        <f>AC42+AC47+AC52+AC57+AC59+AC61</f>
        <v>0</v>
      </c>
      <c r="AD41" s="40">
        <f>AD42+AD47+AD52+AD57+AD59+AD61</f>
        <v>0</v>
      </c>
      <c r="AE41" s="40">
        <f>AE42+AE47+AE52+AE57+AE59+AE61</f>
        <v>0</v>
      </c>
      <c r="AG41" s="65" t="s">
        <v>220</v>
      </c>
      <c r="AH41" s="72">
        <v>2000</v>
      </c>
      <c r="AI41" s="72" t="s">
        <v>203</v>
      </c>
      <c r="AJ41" s="40">
        <f>AJ42+AJ47+AJ52+AJ57+AJ59+AJ61</f>
        <v>3775396.1</v>
      </c>
      <c r="AK41" s="40">
        <f>AK42+AK47+AK52+AK57+AK59+AK61</f>
        <v>3775000</v>
      </c>
      <c r="AL41" s="40">
        <f>AL42+AL47+AL52+AL57+AL59+AL61</f>
        <v>3775000</v>
      </c>
      <c r="AM41" s="40">
        <f>AM42+AM47+AM52+AM57+AM59+AM61</f>
        <v>0</v>
      </c>
    </row>
    <row r="42" spans="1:39" s="92" customFormat="1" ht="31.5">
      <c r="A42" s="28" t="s">
        <v>221</v>
      </c>
      <c r="B42" s="72">
        <v>2100</v>
      </c>
      <c r="C42" s="72" t="s">
        <v>203</v>
      </c>
      <c r="D42" s="40">
        <f>D43+D44+D45+D46</f>
        <v>34349759.14</v>
      </c>
      <c r="E42" s="40">
        <f>E43+E44+E45+E46</f>
        <v>28335100</v>
      </c>
      <c r="F42" s="40">
        <f>F43+F44+F45+F46</f>
        <v>28335100</v>
      </c>
      <c r="G42" s="40">
        <f>G43+G44+G45+G46</f>
        <v>0</v>
      </c>
      <c r="I42" s="28" t="s">
        <v>221</v>
      </c>
      <c r="J42" s="72">
        <v>2100</v>
      </c>
      <c r="K42" s="72" t="s">
        <v>203</v>
      </c>
      <c r="L42" s="40">
        <f>L43+L44+L45+L46</f>
        <v>2644200</v>
      </c>
      <c r="M42" s="40">
        <f>M43+M44+M45+M46</f>
        <v>2644200</v>
      </c>
      <c r="N42" s="40">
        <f>N43+N44+N45+N46</f>
        <v>2644200</v>
      </c>
      <c r="O42" s="40">
        <f>O43+O44+O45+O46</f>
        <v>0</v>
      </c>
      <c r="Q42" s="28" t="s">
        <v>221</v>
      </c>
      <c r="R42" s="72">
        <v>2100</v>
      </c>
      <c r="S42" s="72" t="s">
        <v>203</v>
      </c>
      <c r="T42" s="40">
        <f>T43+T44+T45+T46</f>
        <v>24356015.94</v>
      </c>
      <c r="U42" s="40">
        <f>U43+U44+U45+U46</f>
        <v>25391600</v>
      </c>
      <c r="V42" s="40">
        <f>V43+V44+V45+V46</f>
        <v>25391600</v>
      </c>
      <c r="W42" s="40">
        <f>W43+W44+W45+W46</f>
        <v>0</v>
      </c>
      <c r="Y42" s="28" t="s">
        <v>221</v>
      </c>
      <c r="Z42" s="72">
        <v>2100</v>
      </c>
      <c r="AA42" s="72" t="s">
        <v>203</v>
      </c>
      <c r="AB42" s="40">
        <f>AB43+AB44+AB45+AB46</f>
        <v>7050243.2</v>
      </c>
      <c r="AC42" s="40">
        <f>AC43+AC44+AC45+AC46</f>
        <v>0</v>
      </c>
      <c r="AD42" s="40">
        <f>AD43+AD44+AD45+AD46</f>
        <v>0</v>
      </c>
      <c r="AE42" s="40">
        <f>AE43+AE44+AE45+AE46</f>
        <v>0</v>
      </c>
      <c r="AG42" s="28" t="s">
        <v>221</v>
      </c>
      <c r="AH42" s="72">
        <v>2100</v>
      </c>
      <c r="AI42" s="72" t="s">
        <v>203</v>
      </c>
      <c r="AJ42" s="40">
        <f>AJ43+AJ44+AJ45+AJ46</f>
        <v>299300</v>
      </c>
      <c r="AK42" s="40">
        <f>AK43+AK44+AK45+AK46</f>
        <v>299300</v>
      </c>
      <c r="AL42" s="40">
        <f>AL43+AL44+AL45+AL46</f>
        <v>299300</v>
      </c>
      <c r="AM42" s="40">
        <f>AM43+AM44+AM45+AM46</f>
        <v>0</v>
      </c>
    </row>
    <row r="43" spans="1:39" ht="35.25" customHeight="1">
      <c r="A43" s="36" t="s">
        <v>222</v>
      </c>
      <c r="B43" s="72">
        <v>2110</v>
      </c>
      <c r="C43" s="72">
        <v>111</v>
      </c>
      <c r="D43" s="40">
        <f>L43+T43+AB43+AJ43</f>
        <v>26862100</v>
      </c>
      <c r="E43" s="40">
        <f aca="true" t="shared" si="8" ref="E43:G46">M43+U43+AC43+AK43</f>
        <v>21755600</v>
      </c>
      <c r="F43" s="40">
        <f t="shared" si="8"/>
        <v>21755600</v>
      </c>
      <c r="G43" s="40">
        <f t="shared" si="8"/>
        <v>0</v>
      </c>
      <c r="I43" s="36" t="s">
        <v>222</v>
      </c>
      <c r="J43" s="72">
        <v>2110</v>
      </c>
      <c r="K43" s="72">
        <v>111</v>
      </c>
      <c r="L43" s="52">
        <v>2030900</v>
      </c>
      <c r="M43" s="52">
        <v>2030900</v>
      </c>
      <c r="N43" s="52">
        <v>2030900</v>
      </c>
      <c r="O43" s="40"/>
      <c r="Q43" s="36" t="s">
        <v>222</v>
      </c>
      <c r="R43" s="72">
        <v>2110</v>
      </c>
      <c r="S43" s="72">
        <v>111</v>
      </c>
      <c r="T43" s="52">
        <v>19501900</v>
      </c>
      <c r="U43" s="52">
        <v>19501900</v>
      </c>
      <c r="V43" s="52">
        <v>19501900</v>
      </c>
      <c r="W43" s="40"/>
      <c r="Y43" s="36" t="s">
        <v>222</v>
      </c>
      <c r="Z43" s="72">
        <v>2110</v>
      </c>
      <c r="AA43" s="72">
        <v>111</v>
      </c>
      <c r="AB43" s="40">
        <f>'Иные цели'!D43</f>
        <v>5106500</v>
      </c>
      <c r="AC43" s="40"/>
      <c r="AD43" s="40"/>
      <c r="AE43" s="40"/>
      <c r="AG43" s="36" t="s">
        <v>222</v>
      </c>
      <c r="AH43" s="72">
        <v>2110</v>
      </c>
      <c r="AI43" s="72">
        <v>111</v>
      </c>
      <c r="AJ43" s="52">
        <v>222800</v>
      </c>
      <c r="AK43" s="52">
        <v>222800</v>
      </c>
      <c r="AL43" s="52">
        <v>222800</v>
      </c>
      <c r="AM43" s="40"/>
    </row>
    <row r="44" spans="1:39" ht="31.5" customHeight="1">
      <c r="A44" s="36" t="s">
        <v>73</v>
      </c>
      <c r="B44" s="72">
        <v>2120</v>
      </c>
      <c r="C44" s="72">
        <v>112</v>
      </c>
      <c r="D44" s="40">
        <f>L44+T44+AB44+AJ44</f>
        <v>401600</v>
      </c>
      <c r="E44" s="40">
        <f t="shared" si="8"/>
        <v>0</v>
      </c>
      <c r="F44" s="40">
        <f t="shared" si="8"/>
        <v>0</v>
      </c>
      <c r="G44" s="40">
        <f t="shared" si="8"/>
        <v>0</v>
      </c>
      <c r="I44" s="36" t="s">
        <v>73</v>
      </c>
      <c r="J44" s="72">
        <v>2120</v>
      </c>
      <c r="K44" s="72">
        <v>112</v>
      </c>
      <c r="L44" s="212"/>
      <c r="M44" s="40"/>
      <c r="N44" s="40"/>
      <c r="O44" s="40"/>
      <c r="Q44" s="36" t="s">
        <v>73</v>
      </c>
      <c r="R44" s="72">
        <v>2120</v>
      </c>
      <c r="S44" s="72">
        <v>112</v>
      </c>
      <c r="T44" s="40">
        <v>0</v>
      </c>
      <c r="U44" s="40">
        <v>0</v>
      </c>
      <c r="V44" s="40">
        <v>0</v>
      </c>
      <c r="W44" s="40"/>
      <c r="Y44" s="36" t="s">
        <v>73</v>
      </c>
      <c r="Z44" s="72">
        <v>2120</v>
      </c>
      <c r="AA44" s="72">
        <v>112</v>
      </c>
      <c r="AB44" s="40">
        <f>'Иные цели'!D44</f>
        <v>401600</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2"/>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7086059.1400000015</v>
      </c>
      <c r="E46" s="40">
        <f t="shared" si="8"/>
        <v>6579500</v>
      </c>
      <c r="F46" s="40">
        <f t="shared" si="8"/>
        <v>6579500</v>
      </c>
      <c r="G46" s="40">
        <f t="shared" si="8"/>
        <v>0</v>
      </c>
      <c r="I46" s="36" t="s">
        <v>223</v>
      </c>
      <c r="J46" s="72">
        <v>2140</v>
      </c>
      <c r="K46" s="72">
        <v>119</v>
      </c>
      <c r="L46" s="52">
        <v>613300</v>
      </c>
      <c r="M46" s="52">
        <v>613300</v>
      </c>
      <c r="N46" s="52">
        <v>613300</v>
      </c>
      <c r="O46" s="40"/>
      <c r="Q46" s="36" t="s">
        <v>223</v>
      </c>
      <c r="R46" s="72">
        <v>2140</v>
      </c>
      <c r="S46" s="72">
        <v>119</v>
      </c>
      <c r="T46" s="52">
        <f>5889700+110390.19-1507559.65+361585.4</f>
        <v>4854115.940000001</v>
      </c>
      <c r="U46" s="52">
        <f>5889700</f>
        <v>5889700</v>
      </c>
      <c r="V46" s="52">
        <f>5889700</f>
        <v>5889700</v>
      </c>
      <c r="W46" s="40"/>
      <c r="Y46" s="36" t="s">
        <v>223</v>
      </c>
      <c r="Z46" s="72">
        <v>2140</v>
      </c>
      <c r="AA46" s="72">
        <v>119</v>
      </c>
      <c r="AB46" s="40">
        <f>'Иные цели'!D46</f>
        <v>1542143.2000000002</v>
      </c>
      <c r="AC46" s="40"/>
      <c r="AD46" s="40"/>
      <c r="AE46" s="40"/>
      <c r="AG46" s="36" t="s">
        <v>223</v>
      </c>
      <c r="AH46" s="72">
        <v>2140</v>
      </c>
      <c r="AI46" s="72">
        <v>119</v>
      </c>
      <c r="AJ46" s="52">
        <v>76500</v>
      </c>
      <c r="AK46" s="52">
        <v>76500</v>
      </c>
      <c r="AL46" s="52">
        <v>76500</v>
      </c>
      <c r="AM46" s="40"/>
    </row>
    <row r="47" spans="1:39" s="92" customFormat="1" ht="25.5" customHeight="1">
      <c r="A47" s="28" t="s">
        <v>224</v>
      </c>
      <c r="B47" s="72">
        <v>2200</v>
      </c>
      <c r="C47" s="31">
        <v>300</v>
      </c>
      <c r="D47" s="40">
        <f>D48+D49+D51+D50</f>
        <v>50871.36</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50871.36</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58.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50871.36</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50871.36</v>
      </c>
      <c r="AC49" s="40"/>
      <c r="AD49" s="40"/>
      <c r="AE49" s="40"/>
      <c r="AG49" s="36" t="s">
        <v>75</v>
      </c>
      <c r="AH49" s="72">
        <v>2220</v>
      </c>
      <c r="AI49" s="72">
        <v>321</v>
      </c>
      <c r="AJ49" s="40"/>
      <c r="AK49" s="40"/>
      <c r="AL49" s="40"/>
      <c r="AM49" s="40"/>
    </row>
    <row r="50" spans="1:39" s="98" customFormat="1" ht="33" customHeight="1">
      <c r="A50" s="36" t="s">
        <v>477</v>
      </c>
      <c r="B50" s="31">
        <v>2230</v>
      </c>
      <c r="C50" s="31">
        <v>323</v>
      </c>
      <c r="D50" s="40">
        <f>L50+T50+AB50+AJ50</f>
        <v>0</v>
      </c>
      <c r="E50" s="97"/>
      <c r="F50" s="97"/>
      <c r="G50" s="97"/>
      <c r="I50" s="36" t="s">
        <v>477</v>
      </c>
      <c r="J50" s="31">
        <v>2230</v>
      </c>
      <c r="K50" s="31">
        <v>323</v>
      </c>
      <c r="L50" s="97"/>
      <c r="M50" s="97"/>
      <c r="N50" s="97"/>
      <c r="O50" s="97"/>
      <c r="Q50" s="36" t="s">
        <v>477</v>
      </c>
      <c r="R50" s="31">
        <v>2230</v>
      </c>
      <c r="S50" s="31">
        <v>323</v>
      </c>
      <c r="T50" s="97"/>
      <c r="U50" s="97"/>
      <c r="V50" s="97"/>
      <c r="W50" s="97"/>
      <c r="Y50" s="36" t="s">
        <v>477</v>
      </c>
      <c r="Z50" s="31">
        <v>2230</v>
      </c>
      <c r="AA50" s="31">
        <v>323</v>
      </c>
      <c r="AB50" s="97">
        <f>'Иные цели'!D50</f>
        <v>0</v>
      </c>
      <c r="AC50" s="97"/>
      <c r="AD50" s="97"/>
      <c r="AE50" s="97"/>
      <c r="AG50" s="36" t="s">
        <v>477</v>
      </c>
      <c r="AH50" s="31">
        <v>2230</v>
      </c>
      <c r="AI50" s="31">
        <v>323</v>
      </c>
      <c r="AJ50" s="97"/>
      <c r="AK50" s="97"/>
      <c r="AL50" s="97"/>
      <c r="AM50" s="97"/>
    </row>
    <row r="51" spans="1:39" s="98" customFormat="1" ht="27" customHeight="1">
      <c r="A51" s="36" t="s">
        <v>302</v>
      </c>
      <c r="B51" s="31">
        <v>2240</v>
      </c>
      <c r="C51" s="31">
        <v>350</v>
      </c>
      <c r="D51" s="97">
        <f>L51+T51+AB51+AJ51</f>
        <v>0</v>
      </c>
      <c r="E51" s="97">
        <f>M51+U51+AC51+AK51</f>
        <v>0</v>
      </c>
      <c r="F51" s="97">
        <f>N51+V51+AD51+AL51</f>
        <v>0</v>
      </c>
      <c r="G51" s="97">
        <f>O51+W51+AE51+AM51</f>
        <v>0</v>
      </c>
      <c r="I51" s="36" t="s">
        <v>302</v>
      </c>
      <c r="J51" s="31">
        <v>2240</v>
      </c>
      <c r="K51" s="31">
        <v>350</v>
      </c>
      <c r="L51" s="97"/>
      <c r="M51" s="97"/>
      <c r="N51" s="97"/>
      <c r="O51" s="97"/>
      <c r="Q51" s="36" t="s">
        <v>302</v>
      </c>
      <c r="R51" s="31">
        <v>2240</v>
      </c>
      <c r="S51" s="31">
        <v>350</v>
      </c>
      <c r="T51" s="97"/>
      <c r="U51" s="97"/>
      <c r="V51" s="97"/>
      <c r="W51" s="97"/>
      <c r="Y51" s="36" t="s">
        <v>302</v>
      </c>
      <c r="Z51" s="31">
        <v>2240</v>
      </c>
      <c r="AA51" s="31">
        <v>350</v>
      </c>
      <c r="AB51" s="97">
        <f>'Иные цели'!D51</f>
        <v>0</v>
      </c>
      <c r="AC51" s="97"/>
      <c r="AD51" s="97"/>
      <c r="AE51" s="97"/>
      <c r="AG51" s="36" t="s">
        <v>302</v>
      </c>
      <c r="AH51" s="31">
        <v>2240</v>
      </c>
      <c r="AI51" s="31">
        <v>350</v>
      </c>
      <c r="AJ51" s="97"/>
      <c r="AK51" s="97"/>
      <c r="AL51" s="97"/>
      <c r="AM51" s="97"/>
    </row>
    <row r="52" spans="1:39" s="92" customFormat="1" ht="26.25" customHeight="1">
      <c r="A52" s="28" t="s">
        <v>226</v>
      </c>
      <c r="B52" s="72">
        <v>2300</v>
      </c>
      <c r="C52" s="72">
        <v>850</v>
      </c>
      <c r="D52" s="40">
        <f>D53+D54+D55+D56</f>
        <v>2492296.1</v>
      </c>
      <c r="E52" s="40">
        <f>E53+E54+E55+E56</f>
        <v>2491900</v>
      </c>
      <c r="F52" s="40">
        <f>F53+F54+F55+F56</f>
        <v>2491900</v>
      </c>
      <c r="G52" s="40">
        <f>G53+G54+G55+G56</f>
        <v>0</v>
      </c>
      <c r="I52" s="28" t="s">
        <v>226</v>
      </c>
      <c r="J52" s="72">
        <v>2300</v>
      </c>
      <c r="K52" s="72">
        <v>850</v>
      </c>
      <c r="L52" s="40">
        <f>L53+L54+L55+L56</f>
        <v>2487200</v>
      </c>
      <c r="M52" s="40">
        <f>M53+M54+M55+M56</f>
        <v>2487200</v>
      </c>
      <c r="N52" s="40">
        <f>N53+N54+N55+N56</f>
        <v>2487200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5096.1</v>
      </c>
      <c r="AK52" s="40">
        <f>AK53+AK54+AK55+AK56</f>
        <v>4700</v>
      </c>
      <c r="AL52" s="40">
        <f>AL53+AL54+AL55+AL56</f>
        <v>4700</v>
      </c>
      <c r="AM52" s="40">
        <f>AM53+AM54+AM55+AM56</f>
        <v>0</v>
      </c>
    </row>
    <row r="53" spans="1:39" ht="34.5" customHeight="1">
      <c r="A53" s="36" t="s">
        <v>228</v>
      </c>
      <c r="B53" s="72">
        <v>2310</v>
      </c>
      <c r="C53" s="72">
        <v>851</v>
      </c>
      <c r="D53" s="40">
        <f aca="true" t="shared" si="10" ref="D53:G56">L53+T53+AB53+AJ53</f>
        <v>2487200</v>
      </c>
      <c r="E53" s="40">
        <f t="shared" si="10"/>
        <v>2487200</v>
      </c>
      <c r="F53" s="40">
        <f t="shared" si="10"/>
        <v>2487200</v>
      </c>
      <c r="G53" s="40">
        <f t="shared" si="10"/>
        <v>0</v>
      </c>
      <c r="I53" s="36" t="s">
        <v>228</v>
      </c>
      <c r="J53" s="72">
        <v>2310</v>
      </c>
      <c r="K53" s="72">
        <v>851</v>
      </c>
      <c r="L53" s="40">
        <v>2487200</v>
      </c>
      <c r="M53" s="40">
        <v>2487200</v>
      </c>
      <c r="N53" s="40">
        <v>2487200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5096.1</v>
      </c>
      <c r="E56" s="40">
        <f t="shared" si="10"/>
        <v>4700</v>
      </c>
      <c r="F56" s="40">
        <f t="shared" si="10"/>
        <v>4700</v>
      </c>
      <c r="G56" s="40">
        <f t="shared" si="10"/>
        <v>0</v>
      </c>
      <c r="I56" s="36" t="s">
        <v>229</v>
      </c>
      <c r="J56" s="72">
        <v>2340</v>
      </c>
      <c r="K56" s="72">
        <v>853</v>
      </c>
      <c r="L56" s="40"/>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f>96.1+5000</f>
        <v>5096.1</v>
      </c>
      <c r="AK56" s="40">
        <v>4700</v>
      </c>
      <c r="AL56" s="40">
        <v>4700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480</v>
      </c>
      <c r="B61" s="31">
        <v>2600</v>
      </c>
      <c r="C61" s="31" t="s">
        <v>203</v>
      </c>
      <c r="D61" s="97">
        <f>D62+D63+D64+D65+D84</f>
        <v>13425220.52</v>
      </c>
      <c r="E61" s="97">
        <f>E62+E63+E64+E65+E84</f>
        <v>8558200</v>
      </c>
      <c r="F61" s="97">
        <f>F62+F63+F64+F65+F84</f>
        <v>8558200</v>
      </c>
      <c r="G61" s="97">
        <f>G62+G63+G64+G65+G84</f>
        <v>0</v>
      </c>
      <c r="I61" s="28" t="s">
        <v>480</v>
      </c>
      <c r="J61" s="31">
        <v>2600</v>
      </c>
      <c r="K61" s="31" t="s">
        <v>203</v>
      </c>
      <c r="L61" s="97">
        <f>L62+L63+L64+L65+L84</f>
        <v>4397307.1899999995</v>
      </c>
      <c r="M61" s="97">
        <f>M62+M63+M64+M65+M84</f>
        <v>4391500</v>
      </c>
      <c r="N61" s="97">
        <f>N62+N63+N64+N65+N84</f>
        <v>4391500</v>
      </c>
      <c r="O61" s="97">
        <f>O62+O63+O64+O65+O84</f>
        <v>0</v>
      </c>
      <c r="Q61" s="28" t="s">
        <v>480</v>
      </c>
      <c r="R61" s="31">
        <v>2600</v>
      </c>
      <c r="S61" s="31" t="s">
        <v>203</v>
      </c>
      <c r="T61" s="97">
        <f>T62+T63+T64+T65+T84</f>
        <v>1915910.33</v>
      </c>
      <c r="U61" s="97">
        <f>U62+U63+U64+U65+U84</f>
        <v>695700</v>
      </c>
      <c r="V61" s="97">
        <f>V62+V63+V64+V65+V84</f>
        <v>695700</v>
      </c>
      <c r="W61" s="97">
        <f>W62+W63+W64+W65+W84</f>
        <v>0</v>
      </c>
      <c r="Y61" s="28" t="s">
        <v>480</v>
      </c>
      <c r="Z61" s="31">
        <v>2600</v>
      </c>
      <c r="AA61" s="31" t="s">
        <v>203</v>
      </c>
      <c r="AB61" s="97">
        <f>AB62+AB63+AB64+AB65+AB84</f>
        <v>3641003</v>
      </c>
      <c r="AC61" s="97">
        <f>AC62+AC63+AC64+AC65+AC84</f>
        <v>0</v>
      </c>
      <c r="AD61" s="97">
        <f>AD62+AD63+AD64+AD65+AD84</f>
        <v>0</v>
      </c>
      <c r="AE61" s="97">
        <f>AE62+AE63+AE64+AE65+AE84</f>
        <v>0</v>
      </c>
      <c r="AG61" s="28" t="s">
        <v>480</v>
      </c>
      <c r="AH61" s="31">
        <v>2600</v>
      </c>
      <c r="AI61" s="31" t="s">
        <v>203</v>
      </c>
      <c r="AJ61" s="97">
        <f>AJ62+AJ63+AJ64+AJ65+AJ84</f>
        <v>3471000</v>
      </c>
      <c r="AK61" s="97">
        <f>AK62+AK63+AK64+AK65+AK84</f>
        <v>3471000</v>
      </c>
      <c r="AL61" s="97">
        <f>AL62+AL63+AL64+AL65+AL84</f>
        <v>3471000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10940252.33</v>
      </c>
      <c r="E65" s="40">
        <f>E66+E67+E68+E74+E77+E78+E80+E81+E82</f>
        <v>6078000</v>
      </c>
      <c r="F65" s="40">
        <f>F66+F67+F68+F74+F77+F78+F80+F81+F82</f>
        <v>6078000</v>
      </c>
      <c r="G65" s="40">
        <f>G66+G67+G68+G74+G77+G78+G80+G81+G82</f>
        <v>0</v>
      </c>
      <c r="I65" s="36" t="s">
        <v>239</v>
      </c>
      <c r="J65" s="72">
        <v>2640</v>
      </c>
      <c r="K65" s="72">
        <v>244</v>
      </c>
      <c r="L65" s="40">
        <f>SUM(L66:L81)</f>
        <v>2263539</v>
      </c>
      <c r="M65" s="40">
        <f>SUM(M66:M81)</f>
        <v>2262500</v>
      </c>
      <c r="N65" s="40">
        <f>SUM(N66:N81)</f>
        <v>2262500</v>
      </c>
      <c r="O65" s="40">
        <f>SUM(O66:O81)</f>
        <v>0</v>
      </c>
      <c r="Q65" s="36" t="s">
        <v>239</v>
      </c>
      <c r="R65" s="72">
        <v>2640</v>
      </c>
      <c r="S65" s="72">
        <v>244</v>
      </c>
      <c r="T65" s="40">
        <f>T66+T67+T68+T74+T77+T78+T80+T81+T82</f>
        <v>1915910.33</v>
      </c>
      <c r="U65" s="40">
        <f>U66+U67+U68+U74+U77+U78+U80+U81+U82</f>
        <v>695700</v>
      </c>
      <c r="V65" s="40">
        <f>V66+V67+V68+V74+V77+V78+V80+V81+V82</f>
        <v>695700</v>
      </c>
      <c r="W65" s="40">
        <f>W66+W67+W68+W74+W77+W78+W80+W81+W82</f>
        <v>0</v>
      </c>
      <c r="Y65" s="36" t="s">
        <v>239</v>
      </c>
      <c r="Z65" s="72">
        <v>2640</v>
      </c>
      <c r="AA65" s="72">
        <v>244</v>
      </c>
      <c r="AB65" s="40">
        <f>AB66+AB67+AB68+AB74+AB77+AB78+AB80+AB81+AB82</f>
        <v>3641003</v>
      </c>
      <c r="AC65" s="40">
        <f>AC66+AC67+AC68+AC74+AC77+AC78+AC80+AC81+AC82</f>
        <v>0</v>
      </c>
      <c r="AD65" s="40">
        <f>AD66+AD67+AD68+AD74+AD77+AD78+AD80+AD81+AD82</f>
        <v>0</v>
      </c>
      <c r="AE65" s="40">
        <f>AE66+AE67+AE68+AE74+AE77+AE78+AE80+AE81+AE82</f>
        <v>0</v>
      </c>
      <c r="AG65" s="36" t="s">
        <v>239</v>
      </c>
      <c r="AH65" s="72">
        <v>2640</v>
      </c>
      <c r="AI65" s="72">
        <v>244</v>
      </c>
      <c r="AJ65" s="40">
        <f>SUM(AJ66:AJ81)</f>
        <v>3119800</v>
      </c>
      <c r="AK65" s="40">
        <f>SUM(AK66:AK81)</f>
        <v>3119800</v>
      </c>
      <c r="AL65" s="40">
        <f>SUM(AL66:AL81)</f>
        <v>3119800</v>
      </c>
      <c r="AM65" s="40">
        <f>AM66+AM67+AM68+AM74+AM77+AM78+AM80+AM81+AM82</f>
        <v>0</v>
      </c>
    </row>
    <row r="66" spans="1:39" ht="34.5" customHeight="1">
      <c r="A66" s="41" t="s">
        <v>237</v>
      </c>
      <c r="B66" s="72">
        <v>2641</v>
      </c>
      <c r="C66" s="72">
        <v>244</v>
      </c>
      <c r="D66" s="40">
        <f aca="true" t="shared" si="13" ref="D66:D88">L66+T66+AB66+AJ66</f>
        <v>164936.08000000002</v>
      </c>
      <c r="E66" s="40">
        <f aca="true" t="shared" si="14" ref="E66:G68">M66+U66+AC66+AK66</f>
        <v>90700</v>
      </c>
      <c r="F66" s="40">
        <f t="shared" si="14"/>
        <v>90700</v>
      </c>
      <c r="G66" s="40">
        <f t="shared" si="14"/>
        <v>0</v>
      </c>
      <c r="I66" s="41" t="s">
        <v>237</v>
      </c>
      <c r="J66" s="72">
        <v>2641</v>
      </c>
      <c r="K66" s="72">
        <v>244</v>
      </c>
      <c r="L66" s="94"/>
      <c r="M66" s="40"/>
      <c r="N66" s="40"/>
      <c r="O66" s="40"/>
      <c r="Q66" s="41" t="s">
        <v>237</v>
      </c>
      <c r="R66" s="72">
        <v>2641</v>
      </c>
      <c r="S66" s="72">
        <v>244</v>
      </c>
      <c r="T66" s="52">
        <f>60000+74236.08+30700</f>
        <v>164936.08000000002</v>
      </c>
      <c r="U66" s="52">
        <f>60000+30700</f>
        <v>90700</v>
      </c>
      <c r="V66" s="52">
        <f>60000+30700</f>
        <v>90700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289000</v>
      </c>
      <c r="E68" s="40">
        <f t="shared" si="14"/>
        <v>289000</v>
      </c>
      <c r="F68" s="40">
        <f t="shared" si="14"/>
        <v>289000</v>
      </c>
      <c r="G68" s="40">
        <f t="shared" si="14"/>
        <v>0</v>
      </c>
      <c r="I68" s="41" t="s">
        <v>78</v>
      </c>
      <c r="J68" s="72">
        <v>2643</v>
      </c>
      <c r="K68" s="72">
        <v>244</v>
      </c>
      <c r="L68" s="95">
        <v>289000</v>
      </c>
      <c r="M68" s="95">
        <v>289000</v>
      </c>
      <c r="N68" s="95">
        <v>289000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757539</v>
      </c>
      <c r="E77" s="40">
        <f aca="true" t="shared" si="15" ref="E77:G78">M77+U77+AC77+AK77</f>
        <v>594200</v>
      </c>
      <c r="F77" s="40">
        <f t="shared" si="15"/>
        <v>594200</v>
      </c>
      <c r="G77" s="40">
        <f t="shared" si="15"/>
        <v>0</v>
      </c>
      <c r="I77" s="41" t="s">
        <v>85</v>
      </c>
      <c r="J77" s="72">
        <v>2645</v>
      </c>
      <c r="K77" s="72">
        <v>244</v>
      </c>
      <c r="L77" s="95">
        <f>554200+1039+1200</f>
        <v>556439</v>
      </c>
      <c r="M77" s="95">
        <v>554200</v>
      </c>
      <c r="N77" s="95">
        <v>554200</v>
      </c>
      <c r="O77" s="40"/>
      <c r="Q77" s="41" t="s">
        <v>85</v>
      </c>
      <c r="R77" s="72">
        <v>2645</v>
      </c>
      <c r="S77" s="72">
        <v>244</v>
      </c>
      <c r="T77" s="40">
        <v>40000</v>
      </c>
      <c r="U77" s="40">
        <v>40000</v>
      </c>
      <c r="V77" s="40">
        <v>40000</v>
      </c>
      <c r="W77" s="40"/>
      <c r="Y77" s="41" t="s">
        <v>85</v>
      </c>
      <c r="Z77" s="72">
        <v>2645</v>
      </c>
      <c r="AA77" s="72">
        <v>244</v>
      </c>
      <c r="AB77" s="40">
        <f>'Иные цели'!D77</f>
        <v>161100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2510093</v>
      </c>
      <c r="E78" s="40">
        <f t="shared" si="15"/>
        <v>353900</v>
      </c>
      <c r="F78" s="40">
        <f t="shared" si="15"/>
        <v>353900</v>
      </c>
      <c r="G78" s="40">
        <f t="shared" si="15"/>
        <v>0</v>
      </c>
      <c r="I78" s="41" t="s">
        <v>86</v>
      </c>
      <c r="J78" s="72">
        <v>2646</v>
      </c>
      <c r="K78" s="72">
        <v>244</v>
      </c>
      <c r="L78" s="95">
        <f>76600+4500</f>
        <v>81100</v>
      </c>
      <c r="M78" s="95">
        <v>76600</v>
      </c>
      <c r="N78" s="95">
        <v>76600</v>
      </c>
      <c r="O78" s="40"/>
      <c r="Q78" s="41" t="s">
        <v>86</v>
      </c>
      <c r="R78" s="72">
        <v>2646</v>
      </c>
      <c r="S78" s="72">
        <v>244</v>
      </c>
      <c r="T78" s="52">
        <f>220000+20000+26480+5510</f>
        <v>271990</v>
      </c>
      <c r="U78" s="52">
        <f>220000+20000</f>
        <v>240000</v>
      </c>
      <c r="V78" s="52">
        <f>220000+20000</f>
        <v>240000</v>
      </c>
      <c r="W78" s="40"/>
      <c r="Y78" s="41" t="s">
        <v>86</v>
      </c>
      <c r="Z78" s="72">
        <v>2646</v>
      </c>
      <c r="AA78" s="72">
        <v>244</v>
      </c>
      <c r="AB78" s="40">
        <f>'Иные цели'!D78</f>
        <v>2119703</v>
      </c>
      <c r="AC78" s="40"/>
      <c r="AD78" s="40"/>
      <c r="AE78" s="40"/>
      <c r="AG78" s="41" t="s">
        <v>86</v>
      </c>
      <c r="AH78" s="72">
        <v>2646</v>
      </c>
      <c r="AI78" s="72">
        <v>244</v>
      </c>
      <c r="AJ78" s="52">
        <v>37300</v>
      </c>
      <c r="AK78" s="52">
        <v>37300</v>
      </c>
      <c r="AL78" s="52">
        <v>37300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2769774.25</v>
      </c>
      <c r="E80" s="40">
        <f aca="true" t="shared" si="16" ref="E80:G82">M80+U80+AC80+AK80</f>
        <v>269100</v>
      </c>
      <c r="F80" s="40">
        <f t="shared" si="16"/>
        <v>269100</v>
      </c>
      <c r="G80" s="40">
        <f t="shared" si="16"/>
        <v>0</v>
      </c>
      <c r="I80" s="41" t="s">
        <v>88</v>
      </c>
      <c r="J80" s="72">
        <v>2647</v>
      </c>
      <c r="K80" s="72">
        <v>244</v>
      </c>
      <c r="L80" s="95"/>
      <c r="M80" s="40">
        <v>0</v>
      </c>
      <c r="N80" s="40">
        <v>0</v>
      </c>
      <c r="O80" s="40"/>
      <c r="Q80" s="41" t="s">
        <v>88</v>
      </c>
      <c r="R80" s="72">
        <v>2647</v>
      </c>
      <c r="S80" s="72">
        <v>244</v>
      </c>
      <c r="T80" s="52">
        <f>120000+107000+1507559.65-361585.4</f>
        <v>1372974.25</v>
      </c>
      <c r="U80" s="52">
        <f>120000+107000</f>
        <v>227000</v>
      </c>
      <c r="V80" s="52">
        <f>120000+107000</f>
        <v>227000</v>
      </c>
      <c r="W80" s="40"/>
      <c r="Y80" s="41" t="s">
        <v>88</v>
      </c>
      <c r="Z80" s="72">
        <v>2647</v>
      </c>
      <c r="AA80" s="72">
        <v>244</v>
      </c>
      <c r="AB80" s="40">
        <f>'Иные цели'!D80</f>
        <v>1354700</v>
      </c>
      <c r="AC80" s="40"/>
      <c r="AD80" s="40"/>
      <c r="AE80" s="40"/>
      <c r="AG80" s="41" t="s">
        <v>88</v>
      </c>
      <c r="AH80" s="72">
        <v>2647</v>
      </c>
      <c r="AI80" s="72">
        <v>244</v>
      </c>
      <c r="AJ80" s="40">
        <v>42100</v>
      </c>
      <c r="AK80" s="40">
        <v>42100</v>
      </c>
      <c r="AL80" s="40">
        <v>42100</v>
      </c>
      <c r="AM80" s="40"/>
    </row>
    <row r="81" spans="1:39" ht="24" customHeight="1">
      <c r="A81" s="41" t="s">
        <v>89</v>
      </c>
      <c r="B81" s="72">
        <v>2648</v>
      </c>
      <c r="C81" s="72">
        <v>244</v>
      </c>
      <c r="D81" s="40">
        <f>L81+T81+AB81+AJ81</f>
        <v>4448910</v>
      </c>
      <c r="E81" s="40">
        <f t="shared" si="16"/>
        <v>4481100</v>
      </c>
      <c r="F81" s="40">
        <f t="shared" si="16"/>
        <v>4481100</v>
      </c>
      <c r="G81" s="40">
        <f t="shared" si="16"/>
        <v>0</v>
      </c>
      <c r="I81" s="41" t="s">
        <v>89</v>
      </c>
      <c r="J81" s="72">
        <v>2648</v>
      </c>
      <c r="K81" s="72">
        <v>244</v>
      </c>
      <c r="L81" s="95">
        <f>1342700-4500-1200</f>
        <v>1337000</v>
      </c>
      <c r="M81" s="95">
        <v>1342700</v>
      </c>
      <c r="N81" s="95">
        <v>1342700</v>
      </c>
      <c r="O81" s="40"/>
      <c r="Q81" s="41" t="s">
        <v>89</v>
      </c>
      <c r="R81" s="72">
        <v>2648</v>
      </c>
      <c r="S81" s="72">
        <v>244</v>
      </c>
      <c r="T81" s="52">
        <f>55000+43000-26480-5510</f>
        <v>66010</v>
      </c>
      <c r="U81" s="52">
        <f>55000+43000</f>
        <v>98000</v>
      </c>
      <c r="V81" s="52">
        <f>55000+43000</f>
        <v>98000</v>
      </c>
      <c r="W81" s="40"/>
      <c r="Y81" s="41" t="s">
        <v>89</v>
      </c>
      <c r="Z81" s="72">
        <v>2648</v>
      </c>
      <c r="AA81" s="72">
        <v>244</v>
      </c>
      <c r="AB81" s="40">
        <f>'Иные цели'!D81</f>
        <v>5500</v>
      </c>
      <c r="AC81" s="40"/>
      <c r="AD81" s="40"/>
      <c r="AE81" s="40"/>
      <c r="AG81" s="41" t="s">
        <v>89</v>
      </c>
      <c r="AH81" s="72">
        <v>2648</v>
      </c>
      <c r="AI81" s="72">
        <v>244</v>
      </c>
      <c r="AJ81" s="52">
        <f>3040400</f>
        <v>3040400</v>
      </c>
      <c r="AK81" s="52">
        <v>3040400</v>
      </c>
      <c r="AL81" s="52">
        <v>3040400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2484968.19</v>
      </c>
      <c r="E84" s="40">
        <f>M84+U84+AC84+AK84</f>
        <v>2480200</v>
      </c>
      <c r="F84" s="40">
        <f>N84+V84+AD84+AL84</f>
        <v>2480200</v>
      </c>
      <c r="G84" s="40">
        <f>O84+W84+AE84+AM84</f>
        <v>0</v>
      </c>
      <c r="I84" s="36" t="s">
        <v>241</v>
      </c>
      <c r="J84" s="72">
        <v>2650</v>
      </c>
      <c r="K84" s="72">
        <v>247</v>
      </c>
      <c r="L84" s="97">
        <f>2129000+L6-1039</f>
        <v>2133768.19</v>
      </c>
      <c r="M84" s="97">
        <v>2129000</v>
      </c>
      <c r="N84" s="97">
        <v>2129000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v>351200</v>
      </c>
      <c r="AK84" s="40">
        <v>351200</v>
      </c>
      <c r="AL84" s="40">
        <v>351200</v>
      </c>
      <c r="AM84" s="40"/>
    </row>
    <row r="85" spans="1:39" s="98" customFormat="1" ht="26.25" customHeight="1">
      <c r="A85" s="90" t="s">
        <v>326</v>
      </c>
      <c r="B85" s="31">
        <v>3000</v>
      </c>
      <c r="C85" s="31" t="s">
        <v>203</v>
      </c>
      <c r="D85" s="97">
        <f>D86+D87+D88</f>
        <v>0</v>
      </c>
      <c r="E85" s="97">
        <f>E86+E87+E88</f>
        <v>0</v>
      </c>
      <c r="F85" s="97">
        <f>F86+F87+F88</f>
        <v>0</v>
      </c>
      <c r="G85" s="97">
        <f>G86+G87+G88</f>
        <v>0</v>
      </c>
      <c r="I85" s="90" t="s">
        <v>326</v>
      </c>
      <c r="J85" s="31">
        <v>3000</v>
      </c>
      <c r="K85" s="31" t="s">
        <v>203</v>
      </c>
      <c r="L85" s="97">
        <f>L86+L87+L88</f>
        <v>0</v>
      </c>
      <c r="M85" s="97">
        <f>M86+M87+M88</f>
        <v>0</v>
      </c>
      <c r="N85" s="97">
        <f>N86+N87+N88</f>
        <v>0</v>
      </c>
      <c r="O85" s="97">
        <f>O86+O87+O88</f>
        <v>0</v>
      </c>
      <c r="Q85" s="90" t="s">
        <v>326</v>
      </c>
      <c r="R85" s="31">
        <v>3000</v>
      </c>
      <c r="S85" s="31" t="s">
        <v>203</v>
      </c>
      <c r="T85" s="97">
        <f>T86+T87+T88</f>
        <v>0</v>
      </c>
      <c r="U85" s="97">
        <f>U86+U87+U88</f>
        <v>0</v>
      </c>
      <c r="V85" s="97">
        <f>V86+V87+V88</f>
        <v>0</v>
      </c>
      <c r="W85" s="97">
        <f>W86+W87+W88</f>
        <v>0</v>
      </c>
      <c r="Y85" s="90" t="s">
        <v>326</v>
      </c>
      <c r="Z85" s="31">
        <v>3000</v>
      </c>
      <c r="AA85" s="31" t="s">
        <v>203</v>
      </c>
      <c r="AB85" s="97">
        <f>AB86+AB87+AB88</f>
        <v>0</v>
      </c>
      <c r="AC85" s="97">
        <f>AC86+AC87+AC88</f>
        <v>0</v>
      </c>
      <c r="AD85" s="97">
        <f>AD86+AD87+AD88</f>
        <v>0</v>
      </c>
      <c r="AE85" s="97">
        <f>AE86+AE87+AE88</f>
        <v>0</v>
      </c>
      <c r="AG85" s="90" t="s">
        <v>326</v>
      </c>
      <c r="AH85" s="31">
        <v>3000</v>
      </c>
      <c r="AI85" s="31" t="s">
        <v>203</v>
      </c>
      <c r="AJ85" s="97"/>
      <c r="AK85" s="97">
        <f>AK86+AK87+AK88</f>
        <v>0</v>
      </c>
      <c r="AL85" s="97">
        <f>AL86+AL87+AL88</f>
        <v>0</v>
      </c>
      <c r="AM85" s="97">
        <f>AM86+AM87+AM88</f>
        <v>0</v>
      </c>
    </row>
    <row r="86" spans="1:39" s="98" customFormat="1" ht="33.75" customHeight="1" hidden="1">
      <c r="A86" s="28" t="s">
        <v>327</v>
      </c>
      <c r="B86" s="31">
        <v>3010</v>
      </c>
      <c r="C86" s="31">
        <v>180</v>
      </c>
      <c r="D86" s="97">
        <f t="shared" si="13"/>
        <v>0</v>
      </c>
      <c r="E86" s="97">
        <f aca="true" t="shared" si="17" ref="E86:G88">M86+U86+AC86+AK86</f>
        <v>0</v>
      </c>
      <c r="F86" s="97">
        <f t="shared" si="17"/>
        <v>0</v>
      </c>
      <c r="G86" s="97">
        <f t="shared" si="17"/>
        <v>0</v>
      </c>
      <c r="I86" s="28" t="s">
        <v>327</v>
      </c>
      <c r="J86" s="31">
        <v>3010</v>
      </c>
      <c r="K86" s="31">
        <v>180</v>
      </c>
      <c r="L86" s="97"/>
      <c r="M86" s="97"/>
      <c r="N86" s="97"/>
      <c r="O86" s="97"/>
      <c r="Q86" s="28" t="s">
        <v>327</v>
      </c>
      <c r="R86" s="31">
        <v>3010</v>
      </c>
      <c r="S86" s="31">
        <v>180</v>
      </c>
      <c r="T86" s="97"/>
      <c r="U86" s="97"/>
      <c r="V86" s="97"/>
      <c r="W86" s="97"/>
      <c r="Y86" s="28" t="s">
        <v>327</v>
      </c>
      <c r="Z86" s="31">
        <v>3010</v>
      </c>
      <c r="AA86" s="31">
        <v>180</v>
      </c>
      <c r="AB86" s="97"/>
      <c r="AC86" s="97"/>
      <c r="AD86" s="97"/>
      <c r="AE86" s="97"/>
      <c r="AG86" s="28" t="s">
        <v>327</v>
      </c>
      <c r="AH86" s="31">
        <v>3010</v>
      </c>
      <c r="AI86" s="31">
        <v>180</v>
      </c>
      <c r="AJ86" s="97"/>
      <c r="AK86" s="97"/>
      <c r="AL86" s="97"/>
      <c r="AM86" s="97"/>
    </row>
    <row r="87" spans="1:39" s="98" customFormat="1" ht="17.25" customHeight="1" hidden="1">
      <c r="A87" s="28" t="s">
        <v>328</v>
      </c>
      <c r="B87" s="31">
        <v>3020</v>
      </c>
      <c r="C87" s="31">
        <v>180</v>
      </c>
      <c r="D87" s="97">
        <f t="shared" si="13"/>
        <v>0</v>
      </c>
      <c r="E87" s="97">
        <f t="shared" si="17"/>
        <v>0</v>
      </c>
      <c r="F87" s="97">
        <f t="shared" si="17"/>
        <v>0</v>
      </c>
      <c r="G87" s="97">
        <f t="shared" si="17"/>
        <v>0</v>
      </c>
      <c r="I87" s="28" t="s">
        <v>328</v>
      </c>
      <c r="J87" s="31">
        <v>3020</v>
      </c>
      <c r="K87" s="31">
        <v>180</v>
      </c>
      <c r="L87" s="97"/>
      <c r="M87" s="97"/>
      <c r="N87" s="97"/>
      <c r="O87" s="97"/>
      <c r="Q87" s="28" t="s">
        <v>328</v>
      </c>
      <c r="R87" s="31">
        <v>3020</v>
      </c>
      <c r="S87" s="31">
        <v>180</v>
      </c>
      <c r="T87" s="97"/>
      <c r="U87" s="97"/>
      <c r="V87" s="97"/>
      <c r="W87" s="97"/>
      <c r="Y87" s="28" t="s">
        <v>328</v>
      </c>
      <c r="Z87" s="31">
        <v>3020</v>
      </c>
      <c r="AA87" s="31">
        <v>180</v>
      </c>
      <c r="AB87" s="97"/>
      <c r="AC87" s="97"/>
      <c r="AD87" s="97"/>
      <c r="AE87" s="97"/>
      <c r="AG87" s="28" t="s">
        <v>328</v>
      </c>
      <c r="AH87" s="31">
        <v>3020</v>
      </c>
      <c r="AI87" s="31">
        <v>180</v>
      </c>
      <c r="AJ87" s="97"/>
      <c r="AK87" s="97"/>
      <c r="AL87" s="97"/>
      <c r="AM87" s="97"/>
    </row>
    <row r="88" spans="1:39" s="98" customFormat="1" ht="23.25" customHeight="1" hidden="1">
      <c r="A88" s="28" t="s">
        <v>329</v>
      </c>
      <c r="B88" s="31">
        <v>3030</v>
      </c>
      <c r="C88" s="31">
        <v>180</v>
      </c>
      <c r="D88" s="97">
        <f t="shared" si="13"/>
        <v>0</v>
      </c>
      <c r="E88" s="97">
        <f t="shared" si="17"/>
        <v>0</v>
      </c>
      <c r="F88" s="97">
        <f t="shared" si="17"/>
        <v>0</v>
      </c>
      <c r="G88" s="97">
        <f t="shared" si="17"/>
        <v>0</v>
      </c>
      <c r="I88" s="28" t="s">
        <v>329</v>
      </c>
      <c r="J88" s="31">
        <v>3030</v>
      </c>
      <c r="K88" s="31">
        <v>180</v>
      </c>
      <c r="L88" s="97"/>
      <c r="M88" s="97"/>
      <c r="N88" s="97"/>
      <c r="O88" s="97"/>
      <c r="Q88" s="28" t="s">
        <v>329</v>
      </c>
      <c r="R88" s="31">
        <v>3030</v>
      </c>
      <c r="S88" s="31">
        <v>180</v>
      </c>
      <c r="T88" s="97"/>
      <c r="U88" s="97"/>
      <c r="V88" s="97"/>
      <c r="W88" s="97"/>
      <c r="Y88" s="28" t="s">
        <v>329</v>
      </c>
      <c r="Z88" s="31">
        <v>3030</v>
      </c>
      <c r="AA88" s="31">
        <v>180</v>
      </c>
      <c r="AB88" s="97"/>
      <c r="AC88" s="97"/>
      <c r="AD88" s="97"/>
      <c r="AE88" s="97"/>
      <c r="AG88" s="28" t="s">
        <v>329</v>
      </c>
      <c r="AH88" s="31">
        <v>3030</v>
      </c>
      <c r="AI88" s="31">
        <v>180</v>
      </c>
      <c r="AJ88" s="97"/>
      <c r="AK88" s="97"/>
      <c r="AL88" s="97"/>
      <c r="AM88" s="97"/>
    </row>
    <row r="89" spans="1:39" s="98" customFormat="1" ht="20.25" customHeight="1">
      <c r="A89" s="65" t="s">
        <v>244</v>
      </c>
      <c r="B89" s="31">
        <v>4000</v>
      </c>
      <c r="C89" s="31" t="s">
        <v>203</v>
      </c>
      <c r="D89" s="97">
        <f>D90</f>
        <v>1248.09</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1248.09</v>
      </c>
      <c r="AC89" s="97">
        <f>AC90</f>
        <v>0</v>
      </c>
      <c r="AD89" s="97">
        <f>AD90</f>
        <v>0</v>
      </c>
      <c r="AE89" s="97">
        <f>AE90</f>
        <v>0</v>
      </c>
      <c r="AG89" s="65" t="s">
        <v>244</v>
      </c>
      <c r="AH89" s="31">
        <v>4000</v>
      </c>
      <c r="AI89" s="31" t="s">
        <v>203</v>
      </c>
      <c r="AJ89" s="97">
        <f>AJ90</f>
        <v>0</v>
      </c>
      <c r="AK89" s="97">
        <f>AK90</f>
        <v>0</v>
      </c>
      <c r="AL89" s="97">
        <f>AL90</f>
        <v>0</v>
      </c>
      <c r="AM89" s="97">
        <f>AM90</f>
        <v>0</v>
      </c>
    </row>
    <row r="90" spans="1:39" s="98" customFormat="1" ht="25.5" customHeight="1">
      <c r="A90" s="28" t="s">
        <v>92</v>
      </c>
      <c r="B90" s="31">
        <v>4010</v>
      </c>
      <c r="C90" s="31">
        <v>610</v>
      </c>
      <c r="D90" s="97">
        <f>L90+T90+AB90+AJ90</f>
        <v>1248.09</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1248.09</v>
      </c>
      <c r="AC90" s="97"/>
      <c r="AD90" s="97"/>
      <c r="AE90" s="97"/>
      <c r="AG90" s="28" t="s">
        <v>92</v>
      </c>
      <c r="AH90" s="31">
        <v>4010</v>
      </c>
      <c r="AI90" s="31">
        <v>610</v>
      </c>
      <c r="AJ90" s="97">
        <f>AJ7</f>
        <v>0</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12"/>
      <c r="B92" s="313"/>
      <c r="C92" s="313"/>
      <c r="D92" s="313"/>
      <c r="I92" s="312"/>
      <c r="J92" s="313"/>
      <c r="K92" s="313"/>
      <c r="L92" s="313"/>
      <c r="Q92" s="312"/>
      <c r="R92" s="313"/>
      <c r="S92" s="313"/>
      <c r="T92" s="313"/>
      <c r="Y92" s="312"/>
      <c r="Z92" s="313"/>
      <c r="AA92" s="313"/>
      <c r="AB92" s="313"/>
      <c r="AG92" s="312"/>
      <c r="AH92" s="313"/>
      <c r="AI92" s="313"/>
      <c r="AJ92" s="313"/>
    </row>
    <row r="93" spans="1:39" ht="26.25" customHeight="1">
      <c r="A93" s="49" t="s">
        <v>267</v>
      </c>
      <c r="B93" s="39"/>
      <c r="C93" s="39"/>
      <c r="D93" s="99"/>
      <c r="E93" s="39"/>
      <c r="F93" s="310" t="s">
        <v>266</v>
      </c>
      <c r="G93" s="310"/>
      <c r="I93" s="49" t="s">
        <v>267</v>
      </c>
      <c r="J93" s="39"/>
      <c r="K93" s="39"/>
      <c r="L93" s="99"/>
      <c r="M93" s="39"/>
      <c r="N93" s="310" t="s">
        <v>266</v>
      </c>
      <c r="O93" s="310"/>
      <c r="Q93" s="49" t="s">
        <v>267</v>
      </c>
      <c r="R93" s="39"/>
      <c r="S93" s="39"/>
      <c r="T93" s="99"/>
      <c r="U93" s="39"/>
      <c r="V93" s="310" t="s">
        <v>266</v>
      </c>
      <c r="W93" s="310"/>
      <c r="Y93" s="49" t="s">
        <v>267</v>
      </c>
      <c r="Z93" s="39"/>
      <c r="AA93" s="39"/>
      <c r="AB93" s="99"/>
      <c r="AC93" s="39"/>
      <c r="AD93" s="310" t="s">
        <v>266</v>
      </c>
      <c r="AE93" s="310"/>
      <c r="AG93" s="49" t="s">
        <v>267</v>
      </c>
      <c r="AH93" s="39"/>
      <c r="AI93" s="39"/>
      <c r="AJ93" s="99"/>
      <c r="AK93" s="39"/>
      <c r="AL93" s="310" t="s">
        <v>266</v>
      </c>
      <c r="AM93" s="310"/>
    </row>
    <row r="94" spans="1:39" ht="19.5" customHeight="1">
      <c r="A94" s="49" t="s">
        <v>268</v>
      </c>
      <c r="B94" s="39"/>
      <c r="C94" s="39"/>
      <c r="D94" s="100" t="s">
        <v>11</v>
      </c>
      <c r="E94" s="39"/>
      <c r="F94" s="311" t="s">
        <v>23</v>
      </c>
      <c r="G94" s="311"/>
      <c r="I94" s="49" t="s">
        <v>268</v>
      </c>
      <c r="J94" s="39"/>
      <c r="K94" s="39"/>
      <c r="L94" s="100" t="s">
        <v>11</v>
      </c>
      <c r="M94" s="39"/>
      <c r="N94" s="311" t="s">
        <v>23</v>
      </c>
      <c r="O94" s="311"/>
      <c r="Q94" s="49" t="s">
        <v>268</v>
      </c>
      <c r="R94" s="39"/>
      <c r="S94" s="39"/>
      <c r="T94" s="100" t="s">
        <v>11</v>
      </c>
      <c r="U94" s="39"/>
      <c r="V94" s="311" t="s">
        <v>23</v>
      </c>
      <c r="W94" s="311"/>
      <c r="Y94" s="49" t="s">
        <v>268</v>
      </c>
      <c r="Z94" s="39"/>
      <c r="AA94" s="39"/>
      <c r="AB94" s="100" t="s">
        <v>11</v>
      </c>
      <c r="AC94" s="39"/>
      <c r="AD94" s="311" t="s">
        <v>23</v>
      </c>
      <c r="AE94" s="311"/>
      <c r="AG94" s="49" t="s">
        <v>268</v>
      </c>
      <c r="AH94" s="39"/>
      <c r="AI94" s="39"/>
      <c r="AJ94" s="100" t="s">
        <v>11</v>
      </c>
      <c r="AK94" s="39"/>
      <c r="AL94" s="311" t="s">
        <v>23</v>
      </c>
      <c r="AM94" s="311"/>
    </row>
    <row r="95" spans="1:39" ht="28.5" customHeight="1">
      <c r="A95" s="49" t="s">
        <v>496</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"24"  мая    2024 г.</v>
      </c>
      <c r="B97" s="12"/>
      <c r="C97" s="12"/>
      <c r="D97" s="12"/>
      <c r="E97" s="12"/>
      <c r="F97" s="12"/>
      <c r="G97" s="12"/>
      <c r="I97" s="38" t="str">
        <f>A97</f>
        <v>от "24"  мая    2024 г.</v>
      </c>
      <c r="J97" s="12"/>
      <c r="K97" s="12"/>
      <c r="L97" s="12"/>
      <c r="M97" s="12"/>
      <c r="N97" s="12"/>
      <c r="O97" s="12"/>
      <c r="Q97" s="38" t="str">
        <f>A97</f>
        <v>от "24"  мая    2024 г.</v>
      </c>
      <c r="R97" s="12"/>
      <c r="S97" s="12"/>
      <c r="T97" s="12"/>
      <c r="U97" s="12"/>
      <c r="V97" s="12"/>
      <c r="W97" s="12"/>
      <c r="Y97" s="38" t="str">
        <f>A97</f>
        <v>от "24"  мая    2024 г.</v>
      </c>
      <c r="Z97" s="12"/>
      <c r="AA97" s="12"/>
      <c r="AB97" s="12"/>
      <c r="AC97" s="12"/>
      <c r="AD97" s="12"/>
      <c r="AE97" s="12"/>
      <c r="AG97" s="38" t="str">
        <f>A97</f>
        <v>от "24"  мая    2024 г.</v>
      </c>
      <c r="AH97" s="12"/>
      <c r="AI97" s="12"/>
      <c r="AJ97" s="12"/>
      <c r="AK97" s="12"/>
      <c r="AL97" s="12"/>
      <c r="AM97" s="12"/>
    </row>
    <row r="99" spans="1:39" s="98" customFormat="1" ht="101.25" customHeight="1" hidden="1">
      <c r="A99" s="315" t="s">
        <v>330</v>
      </c>
      <c r="B99" s="315"/>
      <c r="C99" s="315"/>
      <c r="D99" s="315"/>
      <c r="E99" s="315"/>
      <c r="F99" s="315"/>
      <c r="G99" s="315"/>
      <c r="I99" s="315" t="s">
        <v>330</v>
      </c>
      <c r="J99" s="315"/>
      <c r="K99" s="315"/>
      <c r="L99" s="315"/>
      <c r="M99" s="315"/>
      <c r="N99" s="315"/>
      <c r="O99" s="315"/>
      <c r="Q99" s="315" t="s">
        <v>330</v>
      </c>
      <c r="R99" s="315"/>
      <c r="S99" s="315"/>
      <c r="T99" s="315"/>
      <c r="U99" s="315"/>
      <c r="V99" s="315"/>
      <c r="W99" s="315"/>
      <c r="Y99" s="315" t="s">
        <v>330</v>
      </c>
      <c r="Z99" s="315"/>
      <c r="AA99" s="315"/>
      <c r="AB99" s="315"/>
      <c r="AC99" s="315"/>
      <c r="AD99" s="315"/>
      <c r="AE99" s="315"/>
      <c r="AG99" s="315" t="s">
        <v>330</v>
      </c>
      <c r="AH99" s="315"/>
      <c r="AI99" s="315"/>
      <c r="AJ99" s="315"/>
      <c r="AK99" s="315"/>
      <c r="AL99" s="315"/>
      <c r="AM99" s="315"/>
    </row>
    <row r="100" spans="1:39" s="98" customFormat="1" ht="31.5" customHeight="1" hidden="1">
      <c r="A100" s="315" t="s">
        <v>331</v>
      </c>
      <c r="B100" s="315"/>
      <c r="C100" s="315"/>
      <c r="D100" s="315"/>
      <c r="E100" s="315"/>
      <c r="F100" s="315"/>
      <c r="G100" s="315"/>
      <c r="I100" s="315" t="s">
        <v>331</v>
      </c>
      <c r="J100" s="315"/>
      <c r="K100" s="315"/>
      <c r="L100" s="315"/>
      <c r="M100" s="315"/>
      <c r="N100" s="315"/>
      <c r="O100" s="315"/>
      <c r="Q100" s="315" t="s">
        <v>331</v>
      </c>
      <c r="R100" s="315"/>
      <c r="S100" s="315"/>
      <c r="T100" s="315"/>
      <c r="U100" s="315"/>
      <c r="V100" s="315"/>
      <c r="W100" s="315"/>
      <c r="Y100" s="315" t="s">
        <v>331</v>
      </c>
      <c r="Z100" s="315"/>
      <c r="AA100" s="315"/>
      <c r="AB100" s="315"/>
      <c r="AC100" s="315"/>
      <c r="AD100" s="315"/>
      <c r="AE100" s="315"/>
      <c r="AG100" s="315" t="s">
        <v>331</v>
      </c>
      <c r="AH100" s="315"/>
      <c r="AI100" s="315"/>
      <c r="AJ100" s="315"/>
      <c r="AK100" s="315"/>
      <c r="AL100" s="315"/>
      <c r="AM100" s="315"/>
    </row>
    <row r="101" spans="1:39" s="98" customFormat="1" ht="27.75" customHeight="1" hidden="1">
      <c r="A101" s="315" t="s">
        <v>332</v>
      </c>
      <c r="B101" s="315"/>
      <c r="C101" s="315"/>
      <c r="D101" s="315"/>
      <c r="E101" s="315"/>
      <c r="F101" s="315"/>
      <c r="G101" s="315"/>
      <c r="I101" s="315" t="s">
        <v>332</v>
      </c>
      <c r="J101" s="315"/>
      <c r="K101" s="315"/>
      <c r="L101" s="315"/>
      <c r="M101" s="315"/>
      <c r="N101" s="315"/>
      <c r="O101" s="315"/>
      <c r="Q101" s="315" t="s">
        <v>332</v>
      </c>
      <c r="R101" s="315"/>
      <c r="S101" s="315"/>
      <c r="T101" s="315"/>
      <c r="U101" s="315"/>
      <c r="V101" s="315"/>
      <c r="W101" s="315"/>
      <c r="Y101" s="315" t="s">
        <v>332</v>
      </c>
      <c r="Z101" s="315"/>
      <c r="AA101" s="315"/>
      <c r="AB101" s="315"/>
      <c r="AC101" s="315"/>
      <c r="AD101" s="315"/>
      <c r="AE101" s="315"/>
      <c r="AG101" s="315" t="s">
        <v>332</v>
      </c>
      <c r="AH101" s="315"/>
      <c r="AI101" s="315"/>
      <c r="AJ101" s="315"/>
      <c r="AK101" s="315"/>
      <c r="AL101" s="315"/>
      <c r="AM101" s="315"/>
    </row>
    <row r="102" spans="1:39" s="98" customFormat="1" ht="24.75" customHeight="1" hidden="1">
      <c r="A102" s="315" t="s">
        <v>333</v>
      </c>
      <c r="B102" s="315"/>
      <c r="C102" s="315"/>
      <c r="D102" s="315"/>
      <c r="E102" s="315"/>
      <c r="F102" s="315"/>
      <c r="G102" s="315"/>
      <c r="I102" s="315" t="s">
        <v>333</v>
      </c>
      <c r="J102" s="315"/>
      <c r="K102" s="315"/>
      <c r="L102" s="315"/>
      <c r="M102" s="315"/>
      <c r="N102" s="315"/>
      <c r="O102" s="315"/>
      <c r="Q102" s="315" t="s">
        <v>333</v>
      </c>
      <c r="R102" s="315"/>
      <c r="S102" s="315"/>
      <c r="T102" s="315"/>
      <c r="U102" s="315"/>
      <c r="V102" s="315"/>
      <c r="W102" s="315"/>
      <c r="Y102" s="315" t="s">
        <v>333</v>
      </c>
      <c r="Z102" s="315"/>
      <c r="AA102" s="315"/>
      <c r="AB102" s="315"/>
      <c r="AC102" s="315"/>
      <c r="AD102" s="315"/>
      <c r="AE102" s="315"/>
      <c r="AG102" s="315" t="s">
        <v>333</v>
      </c>
      <c r="AH102" s="315"/>
      <c r="AI102" s="315"/>
      <c r="AJ102" s="315"/>
      <c r="AK102" s="315"/>
      <c r="AL102" s="315"/>
      <c r="AM102" s="315"/>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1">
      <selection activeCell="G11" sqref="G11"/>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6"/>
    </row>
    <row r="2" ht="13.5" customHeight="1">
      <c r="B2" s="117"/>
    </row>
    <row r="3" spans="2:15" ht="18.75">
      <c r="B3" s="325" t="s">
        <v>249</v>
      </c>
      <c r="C3" s="326"/>
      <c r="D3" s="326"/>
      <c r="E3" s="326"/>
      <c r="F3" s="326"/>
      <c r="G3" s="326"/>
      <c r="H3" s="326"/>
      <c r="I3" s="326"/>
      <c r="J3" s="326"/>
      <c r="K3" s="326"/>
      <c r="L3" s="326"/>
      <c r="M3" s="326"/>
      <c r="N3" s="326"/>
      <c r="O3" s="118"/>
    </row>
    <row r="4" spans="2:15" ht="15" customHeight="1">
      <c r="B4" s="119"/>
      <c r="C4" s="119"/>
      <c r="D4" s="119"/>
      <c r="E4" s="119"/>
      <c r="F4" s="119"/>
      <c r="G4" s="119"/>
      <c r="H4" s="119"/>
      <c r="I4" s="119"/>
      <c r="J4" s="119"/>
      <c r="K4" s="119"/>
      <c r="L4" s="119"/>
      <c r="M4" s="119"/>
      <c r="N4" s="119"/>
      <c r="O4" s="119"/>
    </row>
    <row r="5" ht="15" customHeight="1">
      <c r="B5" s="117"/>
    </row>
    <row r="6" spans="1:15" ht="30" customHeight="1">
      <c r="A6" s="317" t="s">
        <v>31</v>
      </c>
      <c r="B6" s="321" t="s">
        <v>8</v>
      </c>
      <c r="C6" s="321" t="s">
        <v>15</v>
      </c>
      <c r="D6" s="321" t="s">
        <v>20</v>
      </c>
      <c r="E6" s="327" t="s">
        <v>334</v>
      </c>
      <c r="F6" s="321" t="s">
        <v>303</v>
      </c>
      <c r="G6" s="321" t="s">
        <v>21</v>
      </c>
      <c r="H6" s="321"/>
      <c r="I6" s="321"/>
      <c r="J6" s="321"/>
      <c r="K6" s="321"/>
      <c r="L6" s="321"/>
      <c r="M6" s="321"/>
      <c r="N6" s="321"/>
      <c r="O6" s="321"/>
    </row>
    <row r="7" spans="1:15" ht="20.25" customHeight="1">
      <c r="A7" s="318"/>
      <c r="B7" s="321"/>
      <c r="C7" s="321"/>
      <c r="D7" s="321"/>
      <c r="E7" s="328"/>
      <c r="F7" s="321"/>
      <c r="G7" s="321" t="s">
        <v>19</v>
      </c>
      <c r="H7" s="321"/>
      <c r="I7" s="321"/>
      <c r="J7" s="321" t="s">
        <v>14</v>
      </c>
      <c r="K7" s="321"/>
      <c r="L7" s="321"/>
      <c r="M7" s="321"/>
      <c r="N7" s="321"/>
      <c r="O7" s="321"/>
    </row>
    <row r="8" spans="1:15" ht="74.25" customHeight="1">
      <c r="A8" s="318"/>
      <c r="B8" s="321"/>
      <c r="C8" s="321"/>
      <c r="D8" s="321"/>
      <c r="E8" s="328"/>
      <c r="F8" s="321"/>
      <c r="G8" s="321"/>
      <c r="H8" s="321"/>
      <c r="I8" s="321"/>
      <c r="J8" s="330" t="s">
        <v>481</v>
      </c>
      <c r="K8" s="331"/>
      <c r="L8" s="332"/>
      <c r="M8" s="330" t="s">
        <v>482</v>
      </c>
      <c r="N8" s="331"/>
      <c r="O8" s="332"/>
    </row>
    <row r="9" spans="1:15" ht="111" customHeight="1">
      <c r="A9" s="319"/>
      <c r="B9" s="321"/>
      <c r="C9" s="321"/>
      <c r="D9" s="321"/>
      <c r="E9" s="329"/>
      <c r="F9" s="321"/>
      <c r="G9" s="27" t="str">
        <f>'Раздел 1'!D4</f>
        <v>на 2024 г. (текущий финансовый год)</v>
      </c>
      <c r="H9" s="27" t="str">
        <f>'Раздел 1'!E4</f>
        <v>на 2025 г.                 (1-ый год планового периода)</v>
      </c>
      <c r="I9" s="27" t="str">
        <f>'Раздел 1'!F4</f>
        <v>на 2026 г.                   (2-ой год планового периода)</v>
      </c>
      <c r="J9" s="27" t="str">
        <f>G9</f>
        <v>на 2024 г. (текущий финансовый год)</v>
      </c>
      <c r="K9" s="27" t="str">
        <f>H9</f>
        <v>на 2025 г.                 (1-ый год планового периода)</v>
      </c>
      <c r="L9" s="27" t="str">
        <f>I9</f>
        <v>на 2026 г.                   (2-ой год планового периода)</v>
      </c>
      <c r="M9" s="27" t="str">
        <f>G9</f>
        <v>на 2024 г. (текущий финансовый год)</v>
      </c>
      <c r="N9" s="27" t="str">
        <f>H9</f>
        <v>на 2025 г.                 (1-ый год планового периода)</v>
      </c>
      <c r="O9" s="27" t="str">
        <f>I9</f>
        <v>на 2026 г.                   (2-ой год планового периода)</v>
      </c>
    </row>
    <row r="10" spans="1:15" ht="18" customHeight="1">
      <c r="A10" s="120">
        <v>1</v>
      </c>
      <c r="B10" s="27">
        <v>2</v>
      </c>
      <c r="C10" s="27">
        <v>3</v>
      </c>
      <c r="D10" s="27">
        <v>4</v>
      </c>
      <c r="E10" s="121" t="s">
        <v>261</v>
      </c>
      <c r="F10" s="121" t="s">
        <v>304</v>
      </c>
      <c r="G10" s="27">
        <v>7</v>
      </c>
      <c r="H10" s="27">
        <v>8</v>
      </c>
      <c r="I10" s="27">
        <v>9</v>
      </c>
      <c r="J10" s="27">
        <v>10</v>
      </c>
      <c r="K10" s="27">
        <v>11</v>
      </c>
      <c r="L10" s="27">
        <v>12</v>
      </c>
      <c r="M10" s="27">
        <v>13</v>
      </c>
      <c r="N10" s="27">
        <v>14</v>
      </c>
      <c r="O10" s="27">
        <v>15</v>
      </c>
    </row>
    <row r="11" spans="1:21" ht="57" customHeight="1">
      <c r="A11" s="120" t="s">
        <v>58</v>
      </c>
      <c r="B11" s="105" t="s">
        <v>335</v>
      </c>
      <c r="C11" s="121" t="s">
        <v>250</v>
      </c>
      <c r="D11" s="27" t="s">
        <v>203</v>
      </c>
      <c r="E11" s="27" t="s">
        <v>203</v>
      </c>
      <c r="F11" s="27" t="s">
        <v>203</v>
      </c>
      <c r="G11" s="122">
        <f>J11+M11</f>
        <v>13425220.52</v>
      </c>
      <c r="H11" s="122">
        <f>K11+N11</f>
        <v>8558200</v>
      </c>
      <c r="I11" s="122">
        <f aca="true" t="shared" si="0" ref="G11:I13">L11+O11</f>
        <v>8558200</v>
      </c>
      <c r="J11" s="122">
        <f aca="true" t="shared" si="1" ref="J11:O11">J12+J14</f>
        <v>9954220.52</v>
      </c>
      <c r="K11" s="122">
        <f>K12+K14</f>
        <v>5087200</v>
      </c>
      <c r="L11" s="122">
        <f t="shared" si="1"/>
        <v>5087200</v>
      </c>
      <c r="M11" s="122">
        <f t="shared" si="1"/>
        <v>3471000</v>
      </c>
      <c r="N11" s="122">
        <f t="shared" si="1"/>
        <v>3471000</v>
      </c>
      <c r="O11" s="122">
        <f t="shared" si="1"/>
        <v>3471000</v>
      </c>
      <c r="P11" s="123">
        <v>5246066.72</v>
      </c>
      <c r="Q11" s="123">
        <v>2924200</v>
      </c>
      <c r="R11" s="84">
        <v>2924200</v>
      </c>
      <c r="S11" s="84">
        <v>1864790.17</v>
      </c>
      <c r="T11" s="84">
        <v>2270200</v>
      </c>
      <c r="U11" s="84">
        <v>2270200</v>
      </c>
    </row>
    <row r="12" spans="1:17" ht="64.5" customHeight="1">
      <c r="A12" s="120" t="s">
        <v>124</v>
      </c>
      <c r="B12" s="106" t="s">
        <v>252</v>
      </c>
      <c r="C12" s="121" t="s">
        <v>251</v>
      </c>
      <c r="D12" s="27">
        <v>2023</v>
      </c>
      <c r="E12" s="27" t="s">
        <v>203</v>
      </c>
      <c r="F12" s="27" t="s">
        <v>203</v>
      </c>
      <c r="G12" s="122">
        <f t="shared" si="0"/>
        <v>1004240</v>
      </c>
      <c r="H12" s="122">
        <f t="shared" si="0"/>
        <v>0</v>
      </c>
      <c r="I12" s="122">
        <f t="shared" si="0"/>
        <v>0</v>
      </c>
      <c r="J12" s="122">
        <f>650000+354240</f>
        <v>1004240</v>
      </c>
      <c r="K12" s="122"/>
      <c r="L12" s="122"/>
      <c r="M12" s="122"/>
      <c r="N12" s="122"/>
      <c r="O12" s="122"/>
      <c r="P12" s="123"/>
      <c r="Q12" s="123"/>
    </row>
    <row r="13" spans="1:17" ht="28.5" customHeight="1">
      <c r="A13" s="120" t="s">
        <v>146</v>
      </c>
      <c r="B13" s="107" t="s">
        <v>336</v>
      </c>
      <c r="C13" s="121"/>
      <c r="D13" s="27"/>
      <c r="E13" s="27" t="s">
        <v>203</v>
      </c>
      <c r="F13" s="27" t="s">
        <v>203</v>
      </c>
      <c r="G13" s="122">
        <f t="shared" si="0"/>
        <v>0</v>
      </c>
      <c r="H13" s="122">
        <f t="shared" si="0"/>
        <v>0</v>
      </c>
      <c r="I13" s="122">
        <f t="shared" si="0"/>
        <v>0</v>
      </c>
      <c r="J13" s="122"/>
      <c r="K13" s="122"/>
      <c r="L13" s="122"/>
      <c r="M13" s="122"/>
      <c r="N13" s="122"/>
      <c r="O13" s="122"/>
      <c r="P13" s="123"/>
      <c r="Q13" s="123"/>
    </row>
    <row r="14" spans="1:15" ht="66" customHeight="1">
      <c r="A14" s="121" t="s">
        <v>125</v>
      </c>
      <c r="B14" s="106" t="s">
        <v>253</v>
      </c>
      <c r="C14" s="27">
        <v>262000</v>
      </c>
      <c r="D14" s="27">
        <v>2024</v>
      </c>
      <c r="E14" s="27" t="s">
        <v>203</v>
      </c>
      <c r="F14" s="27" t="s">
        <v>203</v>
      </c>
      <c r="G14" s="122">
        <f aca="true" t="shared" si="2" ref="G14:I15">J14+M14</f>
        <v>12420980.52</v>
      </c>
      <c r="H14" s="122">
        <f t="shared" si="2"/>
        <v>8558200</v>
      </c>
      <c r="I14" s="122">
        <f t="shared" si="2"/>
        <v>8558200</v>
      </c>
      <c r="J14" s="122">
        <f aca="true" t="shared" si="3" ref="J14:O14">J15+J23+J35</f>
        <v>8949980.52</v>
      </c>
      <c r="K14" s="122">
        <f t="shared" si="3"/>
        <v>5087200</v>
      </c>
      <c r="L14" s="122">
        <f t="shared" si="3"/>
        <v>5087200</v>
      </c>
      <c r="M14" s="122">
        <f t="shared" si="3"/>
        <v>3471000</v>
      </c>
      <c r="N14" s="122">
        <f t="shared" si="3"/>
        <v>3471000</v>
      </c>
      <c r="O14" s="122">
        <f t="shared" si="3"/>
        <v>3471000</v>
      </c>
    </row>
    <row r="15" spans="1:16" ht="87" customHeight="1">
      <c r="A15" s="121" t="s">
        <v>148</v>
      </c>
      <c r="B15" s="108" t="s">
        <v>254</v>
      </c>
      <c r="C15" s="27">
        <v>262100</v>
      </c>
      <c r="D15" s="27" t="s">
        <v>203</v>
      </c>
      <c r="E15" s="27" t="s">
        <v>203</v>
      </c>
      <c r="F15" s="27" t="s">
        <v>203</v>
      </c>
      <c r="G15" s="122">
        <f t="shared" si="2"/>
        <v>5663217.52</v>
      </c>
      <c r="H15" s="122">
        <f t="shared" si="2"/>
        <v>5087200</v>
      </c>
      <c r="I15" s="122">
        <f t="shared" si="2"/>
        <v>5087200</v>
      </c>
      <c r="J15" s="122">
        <f aca="true" t="shared" si="4" ref="J15:O15">SUM(J17:J22)</f>
        <v>5663217.52</v>
      </c>
      <c r="K15" s="122">
        <f t="shared" si="4"/>
        <v>5087200</v>
      </c>
      <c r="L15" s="122">
        <f t="shared" si="4"/>
        <v>5087200</v>
      </c>
      <c r="M15" s="122">
        <f t="shared" si="4"/>
        <v>0</v>
      </c>
      <c r="N15" s="122">
        <f t="shared" si="4"/>
        <v>0</v>
      </c>
      <c r="O15" s="122">
        <f t="shared" si="4"/>
        <v>0</v>
      </c>
      <c r="P15" s="84" t="s">
        <v>270</v>
      </c>
    </row>
    <row r="16" spans="1:15" ht="27" customHeight="1">
      <c r="A16" s="121" t="s">
        <v>263</v>
      </c>
      <c r="B16" s="106" t="s">
        <v>336</v>
      </c>
      <c r="C16" s="27"/>
      <c r="D16" s="27"/>
      <c r="E16" s="27"/>
      <c r="F16" s="27"/>
      <c r="G16" s="122"/>
      <c r="H16" s="122"/>
      <c r="I16" s="122"/>
      <c r="J16" s="122"/>
      <c r="K16" s="122"/>
      <c r="L16" s="122"/>
      <c r="M16" s="122"/>
      <c r="N16" s="122"/>
      <c r="O16" s="122"/>
    </row>
    <row r="17" spans="1:15" ht="39" customHeight="1">
      <c r="A17" s="121"/>
      <c r="B17" s="50" t="s">
        <v>299</v>
      </c>
      <c r="C17" s="27"/>
      <c r="D17" s="27">
        <v>2024</v>
      </c>
      <c r="E17" s="27">
        <v>244</v>
      </c>
      <c r="F17" s="27" t="s">
        <v>203</v>
      </c>
      <c r="G17" s="122">
        <f aca="true" t="shared" si="5" ref="G17:I23">J17+M17</f>
        <v>3529449.33</v>
      </c>
      <c r="H17" s="122">
        <f t="shared" si="5"/>
        <v>0</v>
      </c>
      <c r="I17" s="122">
        <f t="shared" si="5"/>
        <v>0</v>
      </c>
      <c r="J17" s="122">
        <f>'Раздел 1'!L65+'Раздел 1'!T65-650000</f>
        <v>3529449.33</v>
      </c>
      <c r="K17" s="122"/>
      <c r="L17" s="122"/>
      <c r="M17" s="122"/>
      <c r="N17" s="122"/>
      <c r="O17" s="122"/>
    </row>
    <row r="18" spans="1:15" ht="34.5" customHeight="1">
      <c r="A18" s="121"/>
      <c r="B18" s="50" t="s">
        <v>300</v>
      </c>
      <c r="C18" s="27"/>
      <c r="D18" s="27">
        <v>2024</v>
      </c>
      <c r="E18" s="27">
        <v>247</v>
      </c>
      <c r="F18" s="27" t="s">
        <v>203</v>
      </c>
      <c r="G18" s="122">
        <f t="shared" si="5"/>
        <v>2133768.19</v>
      </c>
      <c r="H18" s="122">
        <f t="shared" si="5"/>
        <v>0</v>
      </c>
      <c r="I18" s="122">
        <f t="shared" si="5"/>
        <v>0</v>
      </c>
      <c r="J18" s="122">
        <f>'Раздел 1'!L84+'Раздел 1'!T84</f>
        <v>2133768.19</v>
      </c>
      <c r="K18" s="122"/>
      <c r="L18" s="122"/>
      <c r="M18" s="122"/>
      <c r="N18" s="122"/>
      <c r="O18" s="122"/>
    </row>
    <row r="19" spans="1:15" ht="39" customHeight="1">
      <c r="A19" s="121"/>
      <c r="B19" s="50" t="s">
        <v>299</v>
      </c>
      <c r="C19" s="27"/>
      <c r="D19" s="27">
        <v>2025</v>
      </c>
      <c r="E19" s="27">
        <v>244</v>
      </c>
      <c r="F19" s="27" t="s">
        <v>203</v>
      </c>
      <c r="G19" s="122">
        <f t="shared" si="5"/>
        <v>0</v>
      </c>
      <c r="H19" s="122">
        <f t="shared" si="5"/>
        <v>2958200</v>
      </c>
      <c r="I19" s="122">
        <f t="shared" si="5"/>
        <v>0</v>
      </c>
      <c r="J19" s="122"/>
      <c r="K19" s="122">
        <f>'Раздел 1'!M65+'Раздел 1'!U65</f>
        <v>2958200</v>
      </c>
      <c r="L19" s="122"/>
      <c r="M19" s="122"/>
      <c r="N19" s="122"/>
      <c r="O19" s="122"/>
    </row>
    <row r="20" spans="1:15" ht="34.5" customHeight="1">
      <c r="A20" s="121"/>
      <c r="B20" s="50" t="s">
        <v>300</v>
      </c>
      <c r="C20" s="27"/>
      <c r="D20" s="27">
        <v>2025</v>
      </c>
      <c r="E20" s="27">
        <v>247</v>
      </c>
      <c r="F20" s="27" t="s">
        <v>203</v>
      </c>
      <c r="G20" s="122">
        <f t="shared" si="5"/>
        <v>0</v>
      </c>
      <c r="H20" s="122">
        <f t="shared" si="5"/>
        <v>2129000</v>
      </c>
      <c r="I20" s="122">
        <f t="shared" si="5"/>
        <v>0</v>
      </c>
      <c r="J20" s="122"/>
      <c r="K20" s="122">
        <f>'Раздел 1'!M84+'Раздел 1'!U84</f>
        <v>2129000</v>
      </c>
      <c r="L20" s="122"/>
      <c r="M20" s="122"/>
      <c r="N20" s="122"/>
      <c r="O20" s="122"/>
    </row>
    <row r="21" spans="1:16" ht="39" customHeight="1">
      <c r="A21" s="121"/>
      <c r="B21" s="50" t="s">
        <v>299</v>
      </c>
      <c r="C21" s="27"/>
      <c r="D21" s="27">
        <v>2026</v>
      </c>
      <c r="E21" s="27">
        <v>244</v>
      </c>
      <c r="F21" s="27" t="s">
        <v>203</v>
      </c>
      <c r="G21" s="122">
        <f t="shared" si="5"/>
        <v>0</v>
      </c>
      <c r="H21" s="122">
        <f t="shared" si="5"/>
        <v>0</v>
      </c>
      <c r="I21" s="122">
        <f t="shared" si="5"/>
        <v>2958200</v>
      </c>
      <c r="J21" s="122"/>
      <c r="K21" s="122"/>
      <c r="L21" s="122">
        <f>'Раздел 1'!N65+'Раздел 1'!V65</f>
        <v>2958200</v>
      </c>
      <c r="M21" s="122"/>
      <c r="N21" s="122"/>
      <c r="O21" s="122"/>
      <c r="P21" s="123"/>
    </row>
    <row r="22" spans="1:15" ht="34.5" customHeight="1">
      <c r="A22" s="121"/>
      <c r="B22" s="50" t="s">
        <v>300</v>
      </c>
      <c r="C22" s="27"/>
      <c r="D22" s="27">
        <v>2026</v>
      </c>
      <c r="E22" s="27">
        <v>247</v>
      </c>
      <c r="F22" s="27" t="s">
        <v>203</v>
      </c>
      <c r="G22" s="122">
        <f t="shared" si="5"/>
        <v>0</v>
      </c>
      <c r="H22" s="122">
        <f t="shared" si="5"/>
        <v>0</v>
      </c>
      <c r="I22" s="122">
        <f t="shared" si="5"/>
        <v>2129000</v>
      </c>
      <c r="J22" s="122"/>
      <c r="K22" s="122"/>
      <c r="L22" s="122">
        <f>'Раздел 1'!N84+'Раздел 1'!V84</f>
        <v>2129000</v>
      </c>
      <c r="M22" s="122"/>
      <c r="N22" s="122"/>
      <c r="O22" s="122"/>
    </row>
    <row r="23" spans="1:15" ht="84" customHeight="1">
      <c r="A23" s="121" t="s">
        <v>255</v>
      </c>
      <c r="B23" s="108" t="s">
        <v>256</v>
      </c>
      <c r="C23" s="27">
        <v>262200</v>
      </c>
      <c r="D23" s="27" t="s">
        <v>203</v>
      </c>
      <c r="E23" s="27" t="s">
        <v>203</v>
      </c>
      <c r="F23" s="27" t="s">
        <v>203</v>
      </c>
      <c r="G23" s="122">
        <f t="shared" si="5"/>
        <v>3286763</v>
      </c>
      <c r="H23" s="122">
        <f t="shared" si="5"/>
        <v>0</v>
      </c>
      <c r="I23" s="122">
        <f t="shared" si="5"/>
        <v>0</v>
      </c>
      <c r="J23" s="122">
        <f>SUM(J25:J34)</f>
        <v>3286763</v>
      </c>
      <c r="K23" s="122">
        <f>SUM(K25:K34)</f>
        <v>0</v>
      </c>
      <c r="L23" s="122">
        <f>SUM(L25:L26)</f>
        <v>0</v>
      </c>
      <c r="M23" s="122">
        <f>SUM(M25:M26)</f>
        <v>0</v>
      </c>
      <c r="N23" s="122">
        <f>SUM(N25:N26)</f>
        <v>0</v>
      </c>
      <c r="O23" s="122">
        <f>SUM(O25:O26)</f>
        <v>0</v>
      </c>
    </row>
    <row r="24" spans="1:15" ht="27" customHeight="1">
      <c r="A24" s="121"/>
      <c r="B24" s="106" t="s">
        <v>336</v>
      </c>
      <c r="C24" s="27"/>
      <c r="D24" s="27" t="s">
        <v>203</v>
      </c>
      <c r="E24" s="27" t="s">
        <v>203</v>
      </c>
      <c r="F24" s="27" t="s">
        <v>203</v>
      </c>
      <c r="G24" s="122"/>
      <c r="H24" s="122"/>
      <c r="I24" s="122"/>
      <c r="J24" s="122"/>
      <c r="K24" s="122"/>
      <c r="L24" s="122"/>
      <c r="M24" s="122"/>
      <c r="N24" s="122"/>
      <c r="O24" s="122"/>
    </row>
    <row r="25" spans="1:15" s="12" customFormat="1" ht="51" customHeight="1">
      <c r="A25" s="121" t="s">
        <v>257</v>
      </c>
      <c r="B25" s="54" t="s">
        <v>429</v>
      </c>
      <c r="C25" s="27">
        <v>262210</v>
      </c>
      <c r="D25" s="27">
        <v>2024</v>
      </c>
      <c r="E25" s="27">
        <v>244</v>
      </c>
      <c r="F25" s="27" t="s">
        <v>203</v>
      </c>
      <c r="G25" s="122">
        <f>J25+M25</f>
        <v>1686960</v>
      </c>
      <c r="H25" s="122">
        <f>K25+N25</f>
        <v>0</v>
      </c>
      <c r="I25" s="122"/>
      <c r="J25" s="122">
        <f>2041200-354240</f>
        <v>1686960</v>
      </c>
      <c r="K25" s="122"/>
      <c r="L25" s="122"/>
      <c r="M25" s="122"/>
      <c r="N25" s="122"/>
      <c r="O25" s="122"/>
    </row>
    <row r="26" spans="1:15" s="12" customFormat="1" ht="129" customHeight="1">
      <c r="A26" s="121" t="s">
        <v>430</v>
      </c>
      <c r="B26" s="124" t="s">
        <v>431</v>
      </c>
      <c r="C26" s="27">
        <f aca="true" t="shared" si="6" ref="C26:C34">C25+1</f>
        <v>262211</v>
      </c>
      <c r="D26" s="27">
        <v>2024</v>
      </c>
      <c r="E26" s="27">
        <v>244</v>
      </c>
      <c r="F26" s="27" t="s">
        <v>203</v>
      </c>
      <c r="G26" s="122">
        <f aca="true" t="shared" si="7" ref="G26:G35">J26+M26</f>
        <v>300000</v>
      </c>
      <c r="H26" s="122"/>
      <c r="I26" s="122"/>
      <c r="J26" s="122">
        <v>300000</v>
      </c>
      <c r="K26" s="122"/>
      <c r="L26" s="122"/>
      <c r="M26" s="122"/>
      <c r="N26" s="122"/>
      <c r="O26" s="122"/>
    </row>
    <row r="27" spans="1:15" ht="64.5" customHeight="1">
      <c r="A27" s="121" t="s">
        <v>432</v>
      </c>
      <c r="B27" s="124" t="s">
        <v>576</v>
      </c>
      <c r="C27" s="27">
        <f t="shared" si="6"/>
        <v>262212</v>
      </c>
      <c r="D27" s="27">
        <v>2024</v>
      </c>
      <c r="E27" s="27">
        <v>244</v>
      </c>
      <c r="F27" s="27" t="s">
        <v>203</v>
      </c>
      <c r="G27" s="122">
        <f t="shared" si="7"/>
        <v>55000</v>
      </c>
      <c r="H27" s="122"/>
      <c r="I27" s="122"/>
      <c r="J27" s="122">
        <v>55000</v>
      </c>
      <c r="K27" s="122"/>
      <c r="L27" s="122"/>
      <c r="M27" s="122"/>
      <c r="N27" s="122"/>
      <c r="O27" s="122"/>
    </row>
    <row r="28" spans="1:15" s="12" customFormat="1" ht="63.75" customHeight="1">
      <c r="A28" s="121" t="s">
        <v>457</v>
      </c>
      <c r="B28" s="125" t="s">
        <v>564</v>
      </c>
      <c r="C28" s="27">
        <f>C26+1</f>
        <v>262212</v>
      </c>
      <c r="D28" s="27">
        <v>2024</v>
      </c>
      <c r="E28" s="27">
        <v>244</v>
      </c>
      <c r="F28" s="27" t="s">
        <v>203</v>
      </c>
      <c r="G28" s="122">
        <f t="shared" si="7"/>
        <v>161100</v>
      </c>
      <c r="H28" s="122"/>
      <c r="I28" s="122"/>
      <c r="J28" s="122">
        <v>161100</v>
      </c>
      <c r="K28" s="122"/>
      <c r="L28" s="122"/>
      <c r="M28" s="122"/>
      <c r="N28" s="122"/>
      <c r="O28" s="122"/>
    </row>
    <row r="29" spans="1:15" s="12" customFormat="1" ht="63.75" customHeight="1">
      <c r="A29" s="121" t="s">
        <v>459</v>
      </c>
      <c r="B29" s="64" t="s">
        <v>572</v>
      </c>
      <c r="C29" s="27">
        <f>C27+1</f>
        <v>262213</v>
      </c>
      <c r="D29" s="27">
        <v>2024</v>
      </c>
      <c r="E29" s="27">
        <v>244</v>
      </c>
      <c r="F29" s="27" t="s">
        <v>203</v>
      </c>
      <c r="G29" s="122">
        <f t="shared" si="7"/>
        <v>999700</v>
      </c>
      <c r="H29" s="122"/>
      <c r="I29" s="122"/>
      <c r="J29" s="260">
        <v>999700</v>
      </c>
      <c r="K29" s="122"/>
      <c r="L29" s="122"/>
      <c r="M29" s="122"/>
      <c r="N29" s="122"/>
      <c r="O29" s="122"/>
    </row>
    <row r="30" spans="1:15" s="12" customFormat="1" ht="102.75" customHeight="1">
      <c r="A30" s="121" t="s">
        <v>453</v>
      </c>
      <c r="B30" s="285" t="s">
        <v>580</v>
      </c>
      <c r="C30" s="27">
        <f>C29+1</f>
        <v>262214</v>
      </c>
      <c r="D30" s="27">
        <v>2024</v>
      </c>
      <c r="E30" s="27">
        <v>244</v>
      </c>
      <c r="F30" s="27" t="s">
        <v>203</v>
      </c>
      <c r="G30" s="122">
        <f t="shared" si="7"/>
        <v>5500</v>
      </c>
      <c r="H30" s="122"/>
      <c r="I30" s="122"/>
      <c r="J30" s="260">
        <v>5500</v>
      </c>
      <c r="K30" s="122"/>
      <c r="L30" s="122"/>
      <c r="M30" s="122"/>
      <c r="N30" s="122"/>
      <c r="O30" s="122"/>
    </row>
    <row r="31" spans="1:15" s="12" customFormat="1" ht="39.75" customHeight="1">
      <c r="A31" s="121" t="s">
        <v>457</v>
      </c>
      <c r="B31" s="125" t="s">
        <v>534</v>
      </c>
      <c r="C31" s="27">
        <f t="shared" si="6"/>
        <v>262215</v>
      </c>
      <c r="D31" s="27">
        <v>2024</v>
      </c>
      <c r="E31" s="27">
        <v>244</v>
      </c>
      <c r="F31" s="27" t="s">
        <v>203</v>
      </c>
      <c r="G31" s="122">
        <f t="shared" si="7"/>
        <v>0</v>
      </c>
      <c r="H31" s="122"/>
      <c r="I31" s="122"/>
      <c r="J31" s="122"/>
      <c r="K31" s="122"/>
      <c r="L31" s="122"/>
      <c r="M31" s="122"/>
      <c r="N31" s="122"/>
      <c r="O31" s="122"/>
    </row>
    <row r="32" spans="1:15" s="12" customFormat="1" ht="83.25" customHeight="1">
      <c r="A32" s="121" t="s">
        <v>459</v>
      </c>
      <c r="B32" s="286" t="s">
        <v>581</v>
      </c>
      <c r="C32" s="27">
        <f>C31+1</f>
        <v>262216</v>
      </c>
      <c r="D32" s="27">
        <v>2024</v>
      </c>
      <c r="E32" s="27">
        <v>244</v>
      </c>
      <c r="F32" s="27" t="s">
        <v>203</v>
      </c>
      <c r="G32" s="122">
        <f t="shared" si="7"/>
        <v>78503</v>
      </c>
      <c r="H32" s="122"/>
      <c r="I32" s="122"/>
      <c r="J32" s="260">
        <v>78503</v>
      </c>
      <c r="K32" s="122"/>
      <c r="L32" s="122"/>
      <c r="M32" s="122"/>
      <c r="N32" s="122"/>
      <c r="O32" s="122"/>
    </row>
    <row r="33" spans="1:15" s="12" customFormat="1" ht="45.75" customHeight="1">
      <c r="A33" s="121" t="s">
        <v>459</v>
      </c>
      <c r="B33" s="125" t="s">
        <v>452</v>
      </c>
      <c r="C33" s="27">
        <f>C31+1</f>
        <v>262216</v>
      </c>
      <c r="D33" s="27">
        <v>2024</v>
      </c>
      <c r="E33" s="27">
        <v>244</v>
      </c>
      <c r="F33" s="27" t="s">
        <v>203</v>
      </c>
      <c r="G33" s="122">
        <f t="shared" si="7"/>
        <v>0</v>
      </c>
      <c r="H33" s="122"/>
      <c r="I33" s="122"/>
      <c r="J33" s="122"/>
      <c r="K33" s="122"/>
      <c r="L33" s="122"/>
      <c r="M33" s="122"/>
      <c r="N33" s="122"/>
      <c r="O33" s="122"/>
    </row>
    <row r="34" spans="1:15" ht="39" customHeight="1">
      <c r="A34" s="121" t="s">
        <v>463</v>
      </c>
      <c r="B34" s="124" t="s">
        <v>462</v>
      </c>
      <c r="C34" s="27">
        <f t="shared" si="6"/>
        <v>262217</v>
      </c>
      <c r="D34" s="27">
        <v>2024</v>
      </c>
      <c r="E34" s="27">
        <v>244</v>
      </c>
      <c r="F34" s="27" t="s">
        <v>203</v>
      </c>
      <c r="G34" s="122">
        <f t="shared" si="7"/>
        <v>0</v>
      </c>
      <c r="H34" s="122"/>
      <c r="I34" s="122"/>
      <c r="J34" s="122"/>
      <c r="K34" s="122"/>
      <c r="L34" s="122"/>
      <c r="M34" s="122"/>
      <c r="N34" s="122"/>
      <c r="O34" s="122"/>
    </row>
    <row r="35" spans="1:15" ht="54" customHeight="1">
      <c r="A35" s="121" t="s">
        <v>258</v>
      </c>
      <c r="B35" s="108" t="s">
        <v>259</v>
      </c>
      <c r="C35" s="27">
        <v>262400</v>
      </c>
      <c r="D35" s="27" t="s">
        <v>203</v>
      </c>
      <c r="E35" s="27" t="s">
        <v>203</v>
      </c>
      <c r="F35" s="27" t="s">
        <v>203</v>
      </c>
      <c r="G35" s="122">
        <f t="shared" si="7"/>
        <v>3471000</v>
      </c>
      <c r="H35" s="122">
        <f>K35+N35</f>
        <v>3471000</v>
      </c>
      <c r="I35" s="122">
        <f>L35+O35</f>
        <v>3471000</v>
      </c>
      <c r="J35" s="122">
        <f aca="true" t="shared" si="8" ref="J35:O35">SUM(J37:J42)</f>
        <v>0</v>
      </c>
      <c r="K35" s="122">
        <f t="shared" si="8"/>
        <v>0</v>
      </c>
      <c r="L35" s="122">
        <f t="shared" si="8"/>
        <v>0</v>
      </c>
      <c r="M35" s="122">
        <f t="shared" si="8"/>
        <v>3471000</v>
      </c>
      <c r="N35" s="122">
        <f t="shared" si="8"/>
        <v>3471000</v>
      </c>
      <c r="O35" s="122">
        <f t="shared" si="8"/>
        <v>3471000</v>
      </c>
    </row>
    <row r="36" spans="1:15" ht="27" customHeight="1">
      <c r="A36" s="121" t="s">
        <v>260</v>
      </c>
      <c r="B36" s="106" t="s">
        <v>336</v>
      </c>
      <c r="C36" s="27"/>
      <c r="D36" s="27"/>
      <c r="E36" s="27"/>
      <c r="F36" s="27"/>
      <c r="G36" s="122"/>
      <c r="H36" s="122"/>
      <c r="I36" s="122"/>
      <c r="J36" s="122"/>
      <c r="K36" s="122"/>
      <c r="L36" s="122"/>
      <c r="M36" s="122"/>
      <c r="N36" s="122"/>
      <c r="O36" s="122"/>
    </row>
    <row r="37" spans="1:15" ht="39" customHeight="1">
      <c r="A37" s="121"/>
      <c r="B37" s="50" t="s">
        <v>299</v>
      </c>
      <c r="C37" s="27"/>
      <c r="D37" s="27">
        <v>2024</v>
      </c>
      <c r="E37" s="27">
        <v>244</v>
      </c>
      <c r="F37" s="27" t="s">
        <v>203</v>
      </c>
      <c r="G37" s="122">
        <f aca="true" t="shared" si="9" ref="G37:H42">J37+M37</f>
        <v>3119800</v>
      </c>
      <c r="H37" s="122">
        <f t="shared" si="9"/>
        <v>0</v>
      </c>
      <c r="I37" s="122">
        <f aca="true" t="shared" si="10" ref="I37:I42">L37+O37</f>
        <v>0</v>
      </c>
      <c r="J37" s="122"/>
      <c r="K37" s="122"/>
      <c r="L37" s="122"/>
      <c r="M37" s="122">
        <f>'Раздел 1'!AJ65</f>
        <v>3119800</v>
      </c>
      <c r="N37" s="122"/>
      <c r="O37" s="122"/>
    </row>
    <row r="38" spans="1:15" ht="34.5" customHeight="1">
      <c r="A38" s="121"/>
      <c r="B38" s="50" t="s">
        <v>300</v>
      </c>
      <c r="C38" s="27"/>
      <c r="D38" s="27">
        <v>2024</v>
      </c>
      <c r="E38" s="27">
        <v>247</v>
      </c>
      <c r="F38" s="27" t="s">
        <v>203</v>
      </c>
      <c r="G38" s="122">
        <f t="shared" si="9"/>
        <v>351200</v>
      </c>
      <c r="H38" s="122">
        <f t="shared" si="9"/>
        <v>0</v>
      </c>
      <c r="I38" s="122">
        <f t="shared" si="10"/>
        <v>0</v>
      </c>
      <c r="J38" s="122"/>
      <c r="K38" s="122"/>
      <c r="L38" s="122"/>
      <c r="M38" s="122">
        <f>'Раздел 1'!AJ84</f>
        <v>351200</v>
      </c>
      <c r="N38" s="122"/>
      <c r="O38" s="122"/>
    </row>
    <row r="39" spans="1:15" ht="39" customHeight="1">
      <c r="A39" s="121"/>
      <c r="B39" s="50" t="s">
        <v>299</v>
      </c>
      <c r="C39" s="27"/>
      <c r="D39" s="27">
        <v>2025</v>
      </c>
      <c r="E39" s="27">
        <v>244</v>
      </c>
      <c r="F39" s="27" t="s">
        <v>203</v>
      </c>
      <c r="G39" s="122">
        <f t="shared" si="9"/>
        <v>0</v>
      </c>
      <c r="H39" s="122">
        <f t="shared" si="9"/>
        <v>3119800</v>
      </c>
      <c r="I39" s="122">
        <f t="shared" si="10"/>
        <v>0</v>
      </c>
      <c r="J39" s="122"/>
      <c r="K39" s="122"/>
      <c r="L39" s="122"/>
      <c r="M39" s="122"/>
      <c r="N39" s="122">
        <f>'Раздел 1'!AK65</f>
        <v>3119800</v>
      </c>
      <c r="O39" s="122"/>
    </row>
    <row r="40" spans="1:15" ht="34.5" customHeight="1">
      <c r="A40" s="121"/>
      <c r="B40" s="50" t="s">
        <v>300</v>
      </c>
      <c r="C40" s="27"/>
      <c r="D40" s="27">
        <v>2025</v>
      </c>
      <c r="E40" s="27">
        <v>247</v>
      </c>
      <c r="F40" s="27" t="s">
        <v>203</v>
      </c>
      <c r="G40" s="122">
        <f t="shared" si="9"/>
        <v>0</v>
      </c>
      <c r="H40" s="122">
        <f t="shared" si="9"/>
        <v>351200</v>
      </c>
      <c r="I40" s="122">
        <f t="shared" si="10"/>
        <v>0</v>
      </c>
      <c r="J40" s="122"/>
      <c r="K40" s="122"/>
      <c r="L40" s="122"/>
      <c r="M40" s="122"/>
      <c r="N40" s="122">
        <f>'Раздел 1'!AK84</f>
        <v>351200</v>
      </c>
      <c r="O40" s="122"/>
    </row>
    <row r="41" spans="1:15" ht="39" customHeight="1">
      <c r="A41" s="121"/>
      <c r="B41" s="50" t="s">
        <v>299</v>
      </c>
      <c r="C41" s="27"/>
      <c r="D41" s="27">
        <v>2026</v>
      </c>
      <c r="E41" s="27">
        <v>244</v>
      </c>
      <c r="F41" s="27" t="s">
        <v>203</v>
      </c>
      <c r="G41" s="122">
        <f t="shared" si="9"/>
        <v>0</v>
      </c>
      <c r="H41" s="122">
        <f t="shared" si="9"/>
        <v>0</v>
      </c>
      <c r="I41" s="122">
        <f t="shared" si="10"/>
        <v>3119800</v>
      </c>
      <c r="J41" s="122"/>
      <c r="K41" s="122"/>
      <c r="L41" s="122"/>
      <c r="M41" s="122"/>
      <c r="N41" s="122"/>
      <c r="O41" s="122">
        <f>'Раздел 1'!AL65</f>
        <v>3119800</v>
      </c>
    </row>
    <row r="42" spans="1:15" ht="34.5" customHeight="1">
      <c r="A42" s="121"/>
      <c r="B42" s="50" t="s">
        <v>300</v>
      </c>
      <c r="C42" s="27"/>
      <c r="D42" s="27">
        <v>2026</v>
      </c>
      <c r="E42" s="27">
        <v>247</v>
      </c>
      <c r="F42" s="27" t="s">
        <v>203</v>
      </c>
      <c r="G42" s="122">
        <f t="shared" si="9"/>
        <v>0</v>
      </c>
      <c r="H42" s="122">
        <f t="shared" si="9"/>
        <v>0</v>
      </c>
      <c r="I42" s="122">
        <f t="shared" si="10"/>
        <v>351200</v>
      </c>
      <c r="J42" s="122"/>
      <c r="K42" s="122"/>
      <c r="L42" s="122"/>
      <c r="M42" s="122"/>
      <c r="N42" s="122"/>
      <c r="O42" s="122">
        <f>'Раздел 1'!AL84</f>
        <v>351200</v>
      </c>
    </row>
    <row r="43" spans="1:16" ht="61.5" customHeight="1">
      <c r="A43" s="121" t="s">
        <v>262</v>
      </c>
      <c r="B43" s="109" t="s">
        <v>337</v>
      </c>
      <c r="C43" s="110">
        <v>263000</v>
      </c>
      <c r="D43" s="27" t="s">
        <v>203</v>
      </c>
      <c r="E43" s="27" t="s">
        <v>203</v>
      </c>
      <c r="F43" s="27" t="s">
        <v>203</v>
      </c>
      <c r="G43" s="126">
        <f aca="true" t="shared" si="11" ref="G43:O43">G45+G46+G47</f>
        <v>13425220.52</v>
      </c>
      <c r="H43" s="126">
        <f t="shared" si="11"/>
        <v>8558200</v>
      </c>
      <c r="I43" s="126">
        <f t="shared" si="11"/>
        <v>8558200</v>
      </c>
      <c r="J43" s="126">
        <f t="shared" si="11"/>
        <v>9954220.52</v>
      </c>
      <c r="K43" s="126">
        <f>K45+K46+K47</f>
        <v>5087200</v>
      </c>
      <c r="L43" s="126">
        <f t="shared" si="11"/>
        <v>5087200</v>
      </c>
      <c r="M43" s="126">
        <f t="shared" si="11"/>
        <v>3471000</v>
      </c>
      <c r="N43" s="126">
        <f t="shared" si="11"/>
        <v>3471000</v>
      </c>
      <c r="O43" s="126">
        <f t="shared" si="11"/>
        <v>3471000</v>
      </c>
      <c r="P43" s="127"/>
    </row>
    <row r="44" spans="1:15" ht="27" customHeight="1">
      <c r="A44" s="121"/>
      <c r="B44" s="106" t="s">
        <v>338</v>
      </c>
      <c r="C44" s="27"/>
      <c r="D44" s="27"/>
      <c r="E44" s="27"/>
      <c r="F44" s="27"/>
      <c r="G44" s="122"/>
      <c r="H44" s="122"/>
      <c r="I44" s="122"/>
      <c r="J44" s="126"/>
      <c r="K44" s="122"/>
      <c r="L44" s="122"/>
      <c r="M44" s="122"/>
      <c r="N44" s="122"/>
      <c r="O44" s="122"/>
    </row>
    <row r="45" spans="1:16" ht="30" customHeight="1">
      <c r="A45" s="121"/>
      <c r="B45" s="106" t="s">
        <v>301</v>
      </c>
      <c r="C45" s="128">
        <v>263100</v>
      </c>
      <c r="D45" s="128">
        <v>2024</v>
      </c>
      <c r="E45" s="128">
        <v>240</v>
      </c>
      <c r="F45" s="27" t="s">
        <v>203</v>
      </c>
      <c r="G45" s="126">
        <f>J45+M45</f>
        <v>13425220.52</v>
      </c>
      <c r="H45" s="126">
        <f>K45+N45</f>
        <v>0</v>
      </c>
      <c r="I45" s="126"/>
      <c r="J45" s="126">
        <f>J11</f>
        <v>9954220.52</v>
      </c>
      <c r="K45" s="126">
        <f>K12</f>
        <v>0</v>
      </c>
      <c r="L45" s="126"/>
      <c r="M45" s="126">
        <f>M11</f>
        <v>3471000</v>
      </c>
      <c r="N45" s="126">
        <f>N12</f>
        <v>0</v>
      </c>
      <c r="O45" s="126"/>
      <c r="P45" s="127"/>
    </row>
    <row r="46" spans="1:16" ht="30" customHeight="1">
      <c r="A46" s="121"/>
      <c r="B46" s="106" t="s">
        <v>301</v>
      </c>
      <c r="C46" s="128">
        <v>263200</v>
      </c>
      <c r="D46" s="128">
        <v>2025</v>
      </c>
      <c r="E46" s="128">
        <v>240</v>
      </c>
      <c r="F46" s="27" t="s">
        <v>203</v>
      </c>
      <c r="G46" s="126"/>
      <c r="H46" s="126">
        <f>K46+N46</f>
        <v>8558200</v>
      </c>
      <c r="I46" s="126"/>
      <c r="J46" s="126"/>
      <c r="K46" s="126">
        <f>K14</f>
        <v>5087200</v>
      </c>
      <c r="L46" s="126"/>
      <c r="M46" s="126"/>
      <c r="N46" s="126">
        <f>N11</f>
        <v>3471000</v>
      </c>
      <c r="O46" s="126"/>
      <c r="P46" s="127"/>
    </row>
    <row r="47" spans="1:16" ht="30" customHeight="1">
      <c r="A47" s="121"/>
      <c r="B47" s="106" t="s">
        <v>301</v>
      </c>
      <c r="C47" s="128">
        <v>263300</v>
      </c>
      <c r="D47" s="128">
        <v>2026</v>
      </c>
      <c r="E47" s="128">
        <v>240</v>
      </c>
      <c r="F47" s="27" t="s">
        <v>203</v>
      </c>
      <c r="G47" s="126"/>
      <c r="H47" s="126"/>
      <c r="I47" s="126">
        <f>L47+O47</f>
        <v>8558200</v>
      </c>
      <c r="J47" s="126"/>
      <c r="K47" s="126"/>
      <c r="L47" s="126">
        <f>L11</f>
        <v>5087200</v>
      </c>
      <c r="M47" s="126"/>
      <c r="N47" s="126"/>
      <c r="O47" s="126">
        <f>O11</f>
        <v>3471000</v>
      </c>
      <c r="P47" s="127"/>
    </row>
    <row r="48" spans="1:16" ht="30" customHeight="1" hidden="1">
      <c r="A48" s="121"/>
      <c r="B48" s="106"/>
      <c r="C48" s="27"/>
      <c r="D48" s="129"/>
      <c r="E48" s="129"/>
      <c r="F48" s="129"/>
      <c r="G48" s="122"/>
      <c r="H48" s="122"/>
      <c r="I48" s="122"/>
      <c r="J48" s="122"/>
      <c r="K48" s="122"/>
      <c r="L48" s="122"/>
      <c r="M48" s="122"/>
      <c r="N48" s="122"/>
      <c r="O48" s="122"/>
      <c r="P48" s="127"/>
    </row>
    <row r="49" spans="1:16" ht="12.75" customHeight="1">
      <c r="A49" s="130"/>
      <c r="B49" s="131"/>
      <c r="C49" s="132"/>
      <c r="D49" s="133"/>
      <c r="E49" s="133"/>
      <c r="F49" s="133"/>
      <c r="G49" s="134"/>
      <c r="H49" s="134"/>
      <c r="I49" s="134"/>
      <c r="J49" s="134"/>
      <c r="K49" s="134"/>
      <c r="L49" s="134"/>
      <c r="M49" s="134"/>
      <c r="N49" s="134"/>
      <c r="O49" s="134"/>
      <c r="P49" s="127"/>
    </row>
    <row r="50" spans="2:10" ht="18.75">
      <c r="B50" s="135" t="s">
        <v>267</v>
      </c>
      <c r="G50" s="84" t="s">
        <v>25</v>
      </c>
      <c r="I50" s="310" t="str">
        <f>'Раздел 1'!F93</f>
        <v>А.М. Шхалахова</v>
      </c>
      <c r="J50" s="310"/>
    </row>
    <row r="51" spans="2:9" ht="18.75">
      <c r="B51" s="135" t="s">
        <v>268</v>
      </c>
      <c r="G51" s="136" t="s">
        <v>42</v>
      </c>
      <c r="I51" s="84" t="s">
        <v>43</v>
      </c>
    </row>
    <row r="52" ht="10.5" customHeight="1"/>
    <row r="53" ht="10.5" customHeight="1"/>
    <row r="54" spans="2:10" ht="18.75">
      <c r="B54" s="324" t="s">
        <v>44</v>
      </c>
      <c r="C54" s="324"/>
      <c r="D54" s="324"/>
      <c r="E54" s="137"/>
      <c r="F54" s="137"/>
      <c r="G54" s="84" t="s">
        <v>25</v>
      </c>
      <c r="I54" s="322" t="str">
        <f>'Заголовочная часть'!F8</f>
        <v>Е.В.Лопина</v>
      </c>
      <c r="J54" s="322"/>
    </row>
    <row r="55" spans="2:10" ht="16.5" customHeight="1">
      <c r="B55" s="324"/>
      <c r="C55" s="324"/>
      <c r="D55" s="324"/>
      <c r="E55" s="137"/>
      <c r="F55" s="137"/>
      <c r="G55" s="84" t="s">
        <v>42</v>
      </c>
      <c r="I55" s="138" t="s">
        <v>43</v>
      </c>
      <c r="J55" s="138"/>
    </row>
    <row r="56" ht="18.75">
      <c r="B56" s="13" t="s">
        <v>298</v>
      </c>
    </row>
    <row r="57" ht="8.25" customHeight="1"/>
    <row r="58" spans="2:15" ht="21.75" customHeight="1">
      <c r="B58" s="320" t="str">
        <f>'Раздел 1'!A95</f>
        <v>Исполнитель  Доброва Ю.В.</v>
      </c>
      <c r="C58" s="320"/>
      <c r="D58" s="320"/>
      <c r="G58" s="139">
        <f aca="true" t="shared" si="12" ref="G58:O58">G43-G11</f>
        <v>0</v>
      </c>
      <c r="H58" s="139">
        <f t="shared" si="12"/>
        <v>0</v>
      </c>
      <c r="I58" s="139">
        <f t="shared" si="12"/>
        <v>0</v>
      </c>
      <c r="J58" s="139">
        <f t="shared" si="12"/>
        <v>0</v>
      </c>
      <c r="K58" s="139">
        <f t="shared" si="12"/>
        <v>0</v>
      </c>
      <c r="L58" s="139">
        <f t="shared" si="12"/>
        <v>0</v>
      </c>
      <c r="M58" s="139">
        <f t="shared" si="12"/>
        <v>0</v>
      </c>
      <c r="N58" s="139">
        <f t="shared" si="12"/>
        <v>0</v>
      </c>
      <c r="O58" s="139">
        <f t="shared" si="12"/>
        <v>0</v>
      </c>
    </row>
    <row r="59" spans="2:4" ht="21" customHeight="1">
      <c r="B59" s="320" t="s">
        <v>268</v>
      </c>
      <c r="C59" s="320"/>
      <c r="D59" s="13"/>
    </row>
    <row r="60" ht="6.75" customHeight="1"/>
    <row r="61" ht="3.75" customHeight="1"/>
    <row r="62" ht="18.75">
      <c r="B62" s="84" t="str">
        <f>'Заголовочная часть'!B16</f>
        <v>от "24"  мая    2024 г.</v>
      </c>
    </row>
    <row r="63" spans="1:15" ht="93.75" customHeight="1" hidden="1">
      <c r="A63" s="323" t="s">
        <v>339</v>
      </c>
      <c r="B63" s="323"/>
      <c r="C63" s="323"/>
      <c r="D63" s="323"/>
      <c r="E63" s="323"/>
      <c r="F63" s="323"/>
      <c r="G63" s="323"/>
      <c r="H63" s="323"/>
      <c r="I63" s="323"/>
      <c r="J63" s="323"/>
      <c r="K63" s="323"/>
      <c r="L63" s="323"/>
      <c r="M63" s="323"/>
      <c r="N63" s="323"/>
      <c r="O63" s="323"/>
    </row>
    <row r="64" spans="1:15" ht="68.25" customHeight="1" hidden="1">
      <c r="A64" s="323" t="s">
        <v>340</v>
      </c>
      <c r="B64" s="323"/>
      <c r="C64" s="323"/>
      <c r="D64" s="323"/>
      <c r="E64" s="323"/>
      <c r="F64" s="323"/>
      <c r="G64" s="323"/>
      <c r="H64" s="323"/>
      <c r="I64" s="323"/>
      <c r="J64" s="323"/>
      <c r="K64" s="323"/>
      <c r="L64" s="323"/>
      <c r="M64" s="323"/>
      <c r="N64" s="323"/>
      <c r="O64" s="323"/>
    </row>
    <row r="65" spans="1:15" ht="14.25" customHeight="1" hidden="1">
      <c r="A65" s="323" t="s">
        <v>341</v>
      </c>
      <c r="B65" s="323"/>
      <c r="C65" s="323"/>
      <c r="D65" s="323"/>
      <c r="E65" s="323"/>
      <c r="F65" s="323"/>
      <c r="G65" s="323"/>
      <c r="H65" s="323"/>
      <c r="I65" s="323"/>
      <c r="J65" s="323"/>
      <c r="K65" s="323"/>
      <c r="L65" s="323"/>
      <c r="M65" s="323"/>
      <c r="N65" s="323"/>
      <c r="O65" s="323"/>
    </row>
    <row r="66" spans="1:15" ht="18.75" hidden="1">
      <c r="A66" s="323" t="s">
        <v>342</v>
      </c>
      <c r="B66" s="323"/>
      <c r="C66" s="323"/>
      <c r="D66" s="323"/>
      <c r="E66" s="323"/>
      <c r="F66" s="323"/>
      <c r="G66" s="323"/>
      <c r="H66" s="323"/>
      <c r="I66" s="323"/>
      <c r="J66" s="323"/>
      <c r="K66" s="323"/>
      <c r="L66" s="323"/>
      <c r="M66" s="323"/>
      <c r="N66" s="323"/>
      <c r="O66" s="323"/>
    </row>
    <row r="67" spans="1:15" ht="18.75" hidden="1">
      <c r="A67" s="323" t="s">
        <v>343</v>
      </c>
      <c r="B67" s="323"/>
      <c r="C67" s="323"/>
      <c r="D67" s="323"/>
      <c r="E67" s="323"/>
      <c r="F67" s="323"/>
      <c r="G67" s="323"/>
      <c r="H67" s="323"/>
      <c r="I67" s="323"/>
      <c r="J67" s="323"/>
      <c r="K67" s="323"/>
      <c r="L67" s="323"/>
      <c r="M67" s="323"/>
      <c r="N67" s="323"/>
      <c r="O67" s="323"/>
    </row>
  </sheetData>
  <sheetProtection/>
  <mergeCells count="22">
    <mergeCell ref="B3:N3"/>
    <mergeCell ref="E6:E9"/>
    <mergeCell ref="G6:O6"/>
    <mergeCell ref="G7:I8"/>
    <mergeCell ref="J7:O7"/>
    <mergeCell ref="J8:L8"/>
    <mergeCell ref="M8:O8"/>
    <mergeCell ref="I50:J50"/>
    <mergeCell ref="I54:J54"/>
    <mergeCell ref="A64:O64"/>
    <mergeCell ref="A65:O65"/>
    <mergeCell ref="A66:O66"/>
    <mergeCell ref="A67:O67"/>
    <mergeCell ref="A63:O63"/>
    <mergeCell ref="B54:D55"/>
    <mergeCell ref="A6:A9"/>
    <mergeCell ref="B58:D58"/>
    <mergeCell ref="B59:C59"/>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2024-04-22T09:25:00Z</cp:lastPrinted>
  <dcterms:created xsi:type="dcterms:W3CDTF">2016-05-04T07:58:02Z</dcterms:created>
  <dcterms:modified xsi:type="dcterms:W3CDTF">2024-05-24T09:40:42Z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