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0" yWindow="90" windowWidth="14715" windowHeight="11685" tabRatio="900" activeTab="0"/>
  </bookViews>
  <sheets>
    <sheet name="Заголовочная часть" sheetId="1" r:id="rId1"/>
    <sheet name="Раздел 1" sheetId="2" r:id="rId2"/>
    <sheet name="Раздел 2 " sheetId="3" r:id="rId3"/>
    <sheet name="222Б(2017)" sheetId="4" state="hidden" r:id="rId4"/>
    <sheet name="222Б(2018)" sheetId="5" state="hidden" r:id="rId5"/>
    <sheet name="222Б(2019)" sheetId="6" state="hidden" r:id="rId6"/>
    <sheet name="222П.У.(2017)" sheetId="7" state="hidden" r:id="rId7"/>
    <sheet name="222П.У.(2018)" sheetId="8" state="hidden" r:id="rId8"/>
    <sheet name="222П.У.(2019)" sheetId="9" state="hidden" r:id="rId9"/>
    <sheet name="Сведения о пост. ср-х" sheetId="10" r:id="rId10"/>
    <sheet name="Иные цели" sheetId="11" r:id="rId11"/>
    <sheet name="Расчеты обоснования " sheetId="12" r:id="rId12"/>
    <sheet name="5" sheetId="13" r:id="rId13"/>
  </sheets>
  <externalReferences>
    <externalReference r:id="rId16"/>
    <externalReference r:id="rId17"/>
  </externalReferences>
  <definedNames>
    <definedName name="sub_10082" localSheetId="10">'Иные цели'!$A$1</definedName>
    <definedName name="sub_10082" localSheetId="1">'Раздел 1'!$A$1</definedName>
    <definedName name="sub_10082" localSheetId="2">'Раздел 2 '!$B$2</definedName>
    <definedName name="sub_10082" localSheetId="9">'Сведения о пост. ср-х'!#REF!</definedName>
    <definedName name="sub_1008201" localSheetId="10">'Иные цели'!#REF!</definedName>
    <definedName name="sub_1008201" localSheetId="1">'Раздел 1'!#REF!</definedName>
    <definedName name="sub_1008201" localSheetId="2">'Раздел 2 '!$B$4</definedName>
    <definedName name="sub_1008201" localSheetId="9">'Сведения о пост. ср-х'!#REF!</definedName>
    <definedName name="sub_100821" localSheetId="10">'Иные цели'!$B$15</definedName>
    <definedName name="sub_100821" localSheetId="1">'Раздел 1'!$B$15</definedName>
    <definedName name="sub_100821" localSheetId="2">'Раздел 2 '!#REF!</definedName>
    <definedName name="sub_100821" localSheetId="9">'Сведения о пост. ср-х'!#REF!</definedName>
    <definedName name="sub_100822" localSheetId="10">'Иные цели'!$B$16</definedName>
    <definedName name="sub_100822" localSheetId="1">'Раздел 1'!$B$16</definedName>
    <definedName name="sub_100822" localSheetId="2">'Раздел 2 '!#REF!</definedName>
    <definedName name="sub_100822" localSheetId="9">'Сведения о пост. ср-х'!#REF!</definedName>
    <definedName name="sub_100823" localSheetId="10">'Иные цели'!$B$18</definedName>
    <definedName name="sub_100823" localSheetId="1">'Раздел 1'!$B$18</definedName>
    <definedName name="sub_100823" localSheetId="2">'Раздел 2 '!#REF!</definedName>
    <definedName name="sub_100823" localSheetId="9">'Сведения о пост. ср-х'!#REF!</definedName>
    <definedName name="sub_100824" localSheetId="10">'Иные цели'!#REF!</definedName>
    <definedName name="sub_100824" localSheetId="1">'Раздел 1'!#REF!</definedName>
    <definedName name="sub_100824" localSheetId="2">'Раздел 2 '!#REF!</definedName>
    <definedName name="sub_100824" localSheetId="9">'Сведения о пост. ср-х'!#REF!</definedName>
    <definedName name="sub_100825" localSheetId="10">'Иные цели'!#REF!</definedName>
    <definedName name="sub_100825" localSheetId="1">'Раздел 1'!#REF!</definedName>
    <definedName name="sub_100825" localSheetId="2">'Раздел 2 '!#REF!</definedName>
    <definedName name="sub_100825" localSheetId="9">'Сведения о пост. ср-х'!#REF!</definedName>
    <definedName name="sub_100826" localSheetId="10">'Иные цели'!#REF!</definedName>
    <definedName name="sub_100826" localSheetId="1">'Раздел 1'!#REF!</definedName>
    <definedName name="sub_100826" localSheetId="2">'Раздел 2 '!#REF!</definedName>
    <definedName name="sub_100826" localSheetId="9">'Сведения о пост. ср-х'!#REF!</definedName>
    <definedName name="sub_100827" localSheetId="10">'Иные цели'!$B$19</definedName>
    <definedName name="sub_100827" localSheetId="1">'Раздел 1'!$B$19</definedName>
    <definedName name="sub_100827" localSheetId="2">'Раздел 2 '!#REF!</definedName>
    <definedName name="sub_100827" localSheetId="9">'Сведения о пост. ср-х'!#REF!</definedName>
    <definedName name="sub_100828" localSheetId="10">'Иные цели'!#REF!</definedName>
    <definedName name="sub_100828" localSheetId="1">'Раздел 1'!#REF!</definedName>
    <definedName name="sub_100828" localSheetId="2">'Раздел 2 '!#REF!</definedName>
    <definedName name="sub_100828" localSheetId="9">'Сведения о пост. ср-х'!#REF!</definedName>
    <definedName name="sub_100829" localSheetId="10">'Иные цели'!#REF!</definedName>
    <definedName name="sub_100829" localSheetId="1">'Раздел 1'!#REF!</definedName>
    <definedName name="sub_100829" localSheetId="2">'Раздел 2 '!$C$50</definedName>
    <definedName name="sub_100829" localSheetId="9">'Сведения о пост. ср-х'!#REF!</definedName>
    <definedName name="sub_108210" localSheetId="10">'Иные цели'!$B$23</definedName>
    <definedName name="sub_108210" localSheetId="1">'Раздел 1'!$B$23</definedName>
    <definedName name="sub_108210" localSheetId="2">'Раздел 2 '!$C$51</definedName>
    <definedName name="sub_108210" localSheetId="9">'Сведения о пост. ср-х'!#REF!</definedName>
    <definedName name="sub_108211" localSheetId="10">'Иные цели'!$A$24</definedName>
    <definedName name="sub_108211" localSheetId="1">'Раздел 1'!$A$24</definedName>
    <definedName name="sub_108211" localSheetId="2">'Раздел 2 '!$B$52</definedName>
    <definedName name="sub_108211" localSheetId="9">'Сведения о пост. ср-х'!#REF!</definedName>
    <definedName name="sub_108212" localSheetId="10">'Иные цели'!#REF!</definedName>
    <definedName name="sub_108212" localSheetId="1">'Раздел 1'!#REF!</definedName>
    <definedName name="sub_108212" localSheetId="2">'Раздел 2 '!$B$58</definedName>
    <definedName name="sub_108212" localSheetId="9">'Сведения о пост. ср-х'!#REF!</definedName>
    <definedName name="sub_108213" localSheetId="10">'Иные цели'!#REF!</definedName>
    <definedName name="sub_108213" localSheetId="1">'Раздел 1'!#REF!</definedName>
    <definedName name="sub_108213" localSheetId="2">'Раздел 2 '!$B$70</definedName>
    <definedName name="sub_108213" localSheetId="9">'Сведения о пост. ср-х'!$A$7</definedName>
    <definedName name="sub_108214" localSheetId="10">'Иные цели'!$A$85</definedName>
    <definedName name="sub_108214" localSheetId="1">'Раздел 1'!$A$85</definedName>
    <definedName name="sub_108214" localSheetId="2">'Раздел 2 '!$B$76</definedName>
    <definedName name="sub_108214" localSheetId="9">'Сведения о пост. ср-х'!$A$13</definedName>
    <definedName name="sub_108216" localSheetId="10">'Иные цели'!#REF!</definedName>
    <definedName name="sub_108216" localSheetId="1">'Раздел 1'!#REF!</definedName>
    <definedName name="sub_108216" localSheetId="2">'Раздел 2 '!$B$82</definedName>
    <definedName name="sub_108216" localSheetId="9">'Сведения о пост. ср-х'!$A$19</definedName>
    <definedName name="sub_108217" localSheetId="10">'Иные цели'!#REF!</definedName>
    <definedName name="sub_108217" localSheetId="1">'Раздел 1'!#REF!</definedName>
    <definedName name="sub_108217" localSheetId="2">'Раздел 2 '!$B$95</definedName>
    <definedName name="sub_108217" localSheetId="9">'Сведения о пост. ср-х'!#REF!</definedName>
    <definedName name="sub_108218" localSheetId="10">'Иные цели'!$A$49</definedName>
    <definedName name="sub_108218" localSheetId="1">'Раздел 1'!$A$49</definedName>
    <definedName name="sub_108218" localSheetId="2">'Раздел 2 '!$B$96</definedName>
    <definedName name="sub_108218" localSheetId="9">'Сведения о пост. ср-х'!#REF!</definedName>
    <definedName name="sub_108220" localSheetId="10">'Иные цели'!$A$53</definedName>
    <definedName name="sub_108220" localSheetId="1">'Раздел 1'!$A$53</definedName>
    <definedName name="sub_108220" localSheetId="2">'Раздел 2 '!$B$99</definedName>
    <definedName name="sub_108220" localSheetId="9">'Сведения о пост. ср-х'!$A$33</definedName>
    <definedName name="sub_108221" localSheetId="10">'Иные цели'!#REF!</definedName>
    <definedName name="sub_108221" localSheetId="1">'Раздел 1'!#REF!</definedName>
    <definedName name="sub_108221" localSheetId="2">'Раздел 2 '!$B$100</definedName>
    <definedName name="sub_108221" localSheetId="9">'Сведения о пост. ср-х'!$A$34</definedName>
    <definedName name="sub_108224" localSheetId="10">'Иные цели'!$A$54</definedName>
    <definedName name="sub_108224" localSheetId="1">'Раздел 1'!$A$54</definedName>
    <definedName name="sub_108224" localSheetId="2">'Раздел 2 '!$B$103</definedName>
    <definedName name="sub_108224" localSheetId="9">'Сведения о пост. ср-х'!$A$38</definedName>
    <definedName name="_xlnm.Print_Area" localSheetId="0">'Заголовочная часть'!$A$1:$F$28</definedName>
    <definedName name="_xlnm.Print_Area" localSheetId="10">'Иные цели'!$A$1:$AH$90</definedName>
    <definedName name="_xlnm.Print_Area" localSheetId="1">'Раздел 1'!$A$1:$AM$102</definedName>
    <definedName name="_xlnm.Print_Area" localSheetId="2">'Раздел 2 '!$A$1:$O$67</definedName>
    <definedName name="_xlnm.Print_Area" localSheetId="11">'Расчеты обоснования '!$B$1:$P$328</definedName>
    <definedName name="_xlnm.Print_Area" localSheetId="9">'Сведения о пост. ср-х'!$A$1:$C$36</definedName>
  </definedNames>
  <calcPr fullCalcOnLoad="1"/>
</workbook>
</file>

<file path=xl/sharedStrings.xml><?xml version="1.0" encoding="utf-8"?>
<sst xmlns="http://schemas.openxmlformats.org/spreadsheetml/2006/main" count="2026" uniqueCount="593">
  <si>
    <t xml:space="preserve">Дата </t>
  </si>
  <si>
    <t>по ОКЕИ</t>
  </si>
  <si>
    <t>Адрес фактического местонахождения</t>
  </si>
  <si>
    <t>Наименование органа, осуществляющего функции и полномочия учредителя</t>
  </si>
  <si>
    <t xml:space="preserve">Реквизиты учреждения </t>
  </si>
  <si>
    <t>ПЛАН</t>
  </si>
  <si>
    <t xml:space="preserve"> ИНН</t>
  </si>
  <si>
    <t xml:space="preserve"> </t>
  </si>
  <si>
    <t>Наименование показателя</t>
  </si>
  <si>
    <t>М.П.</t>
  </si>
  <si>
    <t xml:space="preserve">                                                              УТВЕРЖДАЮ</t>
  </si>
  <si>
    <t>(подпись)</t>
  </si>
  <si>
    <t xml:space="preserve">              (ФИО)</t>
  </si>
  <si>
    <t>Сумма, руб.</t>
  </si>
  <si>
    <t>в том числе:</t>
  </si>
  <si>
    <t>Код строки</t>
  </si>
  <si>
    <t>X</t>
  </si>
  <si>
    <t>Код по бюджетной классификации Российской Федерации</t>
  </si>
  <si>
    <t>Поступления от оказания услуг (выполнения работ) на платной основе и от иной приносящей доход деятельности</t>
  </si>
  <si>
    <t>всего на закупки</t>
  </si>
  <si>
    <t>Год начала закупки</t>
  </si>
  <si>
    <t>Сумма выплат по расходам на закупку товаров, работ и услуг, руб (с точностью до двух знаков после запятой - 0,00)</t>
  </si>
  <si>
    <t>0001</t>
  </si>
  <si>
    <t>(расшифровка подписи)</t>
  </si>
  <si>
    <t>тел.</t>
  </si>
  <si>
    <t>________________</t>
  </si>
  <si>
    <t xml:space="preserve">Наименование  учреждения </t>
  </si>
  <si>
    <t>Единица измерения: руб. (с точностью до двух знаков после запятой - 0,00)</t>
  </si>
  <si>
    <t>x</t>
  </si>
  <si>
    <t>Итого:</t>
  </si>
  <si>
    <t>Наименование расходов</t>
  </si>
  <si>
    <t>№ п/п</t>
  </si>
  <si>
    <t>Плата за перевозку (доставку) грузов (отправлений)</t>
  </si>
  <si>
    <t>Цена услуги перевозки, руб.</t>
  </si>
  <si>
    <t>Количество услуг перевозки</t>
  </si>
  <si>
    <t>Расчет (обоснование) расходов на оплату транспортных услуг</t>
  </si>
  <si>
    <t>Руководитель финансово-экономической службы</t>
  </si>
  <si>
    <t>Главный бухгалтер</t>
  </si>
  <si>
    <t>5= гр.3 х гр.4</t>
  </si>
  <si>
    <t>Таблица 7</t>
  </si>
  <si>
    <t>наименование источника финансового обеспечения</t>
  </si>
  <si>
    <t>(наименование учреждения)</t>
  </si>
  <si>
    <t xml:space="preserve">       (подпись)</t>
  </si>
  <si>
    <t xml:space="preserve">           (расшифровка подписи)</t>
  </si>
  <si>
    <t>Должностное лицо,ответственное за формирование плана закупок</t>
  </si>
  <si>
    <t>______________</t>
  </si>
  <si>
    <t>____________</t>
  </si>
  <si>
    <t>ФИНАНСОВО-ХОЗЯЙСТВЕННОЙ ДЕЯТЕЛЬНОСТИ</t>
  </si>
  <si>
    <t>по ОКПО</t>
  </si>
  <si>
    <t xml:space="preserve">                                                  </t>
  </si>
  <si>
    <t xml:space="preserve">   (подпись)</t>
  </si>
  <si>
    <t xml:space="preserve">Обеспечение должностных лиц проездными документами в служебных целях </t>
  </si>
  <si>
    <t>Обеспечение должностных лиц проездом по городу в служебных целях (оказание услуг перевозки на основание договора автотранспортного обслуживания)</t>
  </si>
  <si>
    <t>Обеспечение должностных лиц проездом по Краснодарскому краю в служебных командировках (оказание услуг перевозки на основание договора автотранспортного обслуживания)</t>
  </si>
  <si>
    <t>на 2017 год</t>
  </si>
  <si>
    <t>на 2018 год</t>
  </si>
  <si>
    <t>на 2019 год</t>
  </si>
  <si>
    <t>Субсидии на финансовое обеспечение выполнения муниципального задания</t>
  </si>
  <si>
    <t>1.</t>
  </si>
  <si>
    <t>ИНН</t>
  </si>
  <si>
    <t>КПП</t>
  </si>
  <si>
    <t>Код по сводному реестру</t>
  </si>
  <si>
    <t>Сумма, руб. (с точностью до двух знаков после запятой - 0,00)</t>
  </si>
  <si>
    <t>за пределами  планового периода</t>
  </si>
  <si>
    <t>0011</t>
  </si>
  <si>
    <t>плата по соглашениям об установлении сервитута</t>
  </si>
  <si>
    <t>возмещение расходов по решению судов (возмещение судебных издержек)</t>
  </si>
  <si>
    <t>поступления от возмещения ущерба, в том числе при возникновении страховых случаев</t>
  </si>
  <si>
    <t>гранты, за исключением грантов в виде субсидий</t>
  </si>
  <si>
    <t>пожертвования</t>
  </si>
  <si>
    <t>прочие безвозмездные поступления</t>
  </si>
  <si>
    <t>налог на добавленную стоимость**</t>
  </si>
  <si>
    <t>прочие налоги, уменьшающие доход**</t>
  </si>
  <si>
    <t>прочие выплаты персоналу, в том числе компенсационного характера</t>
  </si>
  <si>
    <t>иные выплаты, за исключением фонда оплаты труда учреждения, лицам, привлекаемым согласно законодательству для выполнения отдельных полномочий</t>
  </si>
  <si>
    <t>иные социальные выплаты гражданам, кроме публичных нормативных обязательств</t>
  </si>
  <si>
    <t>транспортный налог</t>
  </si>
  <si>
    <t>расходы на закупку транспортных услуг</t>
  </si>
  <si>
    <t>расходы на оплату коммунальных услуг</t>
  </si>
  <si>
    <t>оплата услуг отопления, горячего и холодного водоснабжения, предоставления газа и электроэнергии</t>
  </si>
  <si>
    <t>расходы на оплату энергосервисных договоров (контрактов)</t>
  </si>
  <si>
    <t>расходы арендатора по возмещению арендодателю стоимости коммунальных услуг</t>
  </si>
  <si>
    <t>другие расходы по оплате коммунальных услуг</t>
  </si>
  <si>
    <t>расходы на аренду (пользование имуществом)</t>
  </si>
  <si>
    <t>арендная плата за пользование движимым имуществом</t>
  </si>
  <si>
    <t>расходы на содержание имущества</t>
  </si>
  <si>
    <t>расходы на оплату прочих услуг и работ</t>
  </si>
  <si>
    <t>услуги по страхованию имущества, гражданской ответственности и здоровья</t>
  </si>
  <si>
    <t>расходы на приобретение основных средств, за исключение объектов недвижимого имущества</t>
  </si>
  <si>
    <t>расходы на приобретение материальных запасов</t>
  </si>
  <si>
    <t>расходы на приобретение нематериальных активов</t>
  </si>
  <si>
    <t>прочие расходы на увеличение стоимости нефинансовых активов</t>
  </si>
  <si>
    <t>возврат в  бюджет средств субсидии</t>
  </si>
  <si>
    <t>0002</t>
  </si>
  <si>
    <t>0012</t>
  </si>
  <si>
    <t>*** Показатель формируется только автономными учреждениями</t>
  </si>
  <si>
    <t>всего</t>
  </si>
  <si>
    <t>Муниципальный бюджет</t>
  </si>
  <si>
    <t>Краевой бюджет</t>
  </si>
  <si>
    <t>Иные цели</t>
  </si>
  <si>
    <t>доходы, получаемые в виде арендной либо иной платы за передачу в возмездное пользование  муниципального имущества</t>
  </si>
  <si>
    <t xml:space="preserve">доходы по остаткам средств на счетах   </t>
  </si>
  <si>
    <t xml:space="preserve">прочие поступления от использования имущества, находящегося в оперативном управлении </t>
  </si>
  <si>
    <t>доходы от оказания услуг, выполнения работ, реализации готовой продукции за плату (платные услуги)</t>
  </si>
  <si>
    <t xml:space="preserve">доходы, поступающие в порядке возмещения расходов, понесенных в связи с эксплуатацией имущества, находящегося в оперативном управлении  </t>
  </si>
  <si>
    <t>субсидии на осуществление капитальных вложений</t>
  </si>
  <si>
    <t>1. Расчеты (обоснования) выплат персоналу</t>
  </si>
  <si>
    <t>Код видов расходов</t>
  </si>
  <si>
    <t>Категории персонала/должности</t>
  </si>
  <si>
    <t>Установленнаяленная численность, (единиц)</t>
  </si>
  <si>
    <t>Среднемесячный размер оплаты труда на одного работника, руб.</t>
  </si>
  <si>
    <t>Источники финансового обеспечения</t>
  </si>
  <si>
    <t>Субсидии на выполнение муниципального задания (руб.)</t>
  </si>
  <si>
    <t>Субсидии, предостав-ляемые в соответствии с абзацем вторым пункта 1 статьи 78.1 Бюджетного кодекса Российской Федерации (руб.)</t>
  </si>
  <si>
    <t>Поступления от оказания услуг (выполнения работ) на платной основе и от приносящей доход деятельности (руб.)</t>
  </si>
  <si>
    <t>по должностному окладу</t>
  </si>
  <si>
    <t>по выплатам компенсационного характера</t>
  </si>
  <si>
    <t>Административно-управленческий персонал</t>
  </si>
  <si>
    <t>Педагогические работники</t>
  </si>
  <si>
    <t>Учебно-вспомогательный персонал</t>
  </si>
  <si>
    <t>Обслуживающий персонал</t>
  </si>
  <si>
    <t>Средний размер выплаты на одного работника в день (руб.)</t>
  </si>
  <si>
    <t>Количество работников (чел)</t>
  </si>
  <si>
    <t>Количество дней (ед.)</t>
  </si>
  <si>
    <t>1.1.</t>
  </si>
  <si>
    <t>1.2.</t>
  </si>
  <si>
    <t>1.3.</t>
  </si>
  <si>
    <t>Численность работников, получающих пособие (чел.)</t>
  </si>
  <si>
    <t>Количество выплат в год на одного работника</t>
  </si>
  <si>
    <t>Размер выплаты (пособия) в месяц (руб.)</t>
  </si>
  <si>
    <t>Пособие по уходу за ребенком</t>
  </si>
  <si>
    <t>Наименование государственного внебюджетного фонда</t>
  </si>
  <si>
    <t>Ставка взноса (процент)</t>
  </si>
  <si>
    <t>Размер базы для начисления страховых взносов (руб.)</t>
  </si>
  <si>
    <t>Сумма взноса (руб.)</t>
  </si>
  <si>
    <t>Субсидии на осуществление капитальных вложений (руб.)</t>
  </si>
  <si>
    <t>2.1.</t>
  </si>
  <si>
    <t>&lt;*&gt; Указываются   страховые  тарифы,  дифференцированные   по   классам профессионального  риска,  установленные  Федеральным законом от 22 декабря 2005   г.   №   179-ФЗ  «О  страховых  тарифах  на  обязательное социальное страхование от  несчастных  случаев  на  производстве  и  профессиональных заболеваний  на  2006 год» (Собрание законодательства Российской Федерации, 2005, № 52,  ст.  5592; 2006, № 52, ст. 5501; 2007, № 30, ст. 3800; 2008, № 48, ст. 5512; 2009, № 48, ст. 5747; 2010, № 50, ст. 6589; 2011, № 49, ст. 7034;  2012,  №  50,  ст. 6951; 2013, № 49, ст. 6324; 2014, № 49, ст. 6910; 2015, № 51, ст. 7233; 2016, № 52, ст. 7468; 2018, № 1, ст. 68; № 53, ст.8403)</t>
  </si>
  <si>
    <t>2. Расчет (обоснование) расходов на социальные и иные выплаты населению</t>
  </si>
  <si>
    <t>Размер одной выплаты (руб.)</t>
  </si>
  <si>
    <t>Количество выплат в год (ед.)</t>
  </si>
  <si>
    <t>2.2.</t>
  </si>
  <si>
    <t>3.1.</t>
  </si>
  <si>
    <t>3. Расчет (обоснование) расходов на уплату налогов, сборов и иных платежей</t>
  </si>
  <si>
    <t>Налоговая база (руб.)</t>
  </si>
  <si>
    <t>Ставка налога (процент)</t>
  </si>
  <si>
    <t>1.1.1.</t>
  </si>
  <si>
    <t>переданное в аренду</t>
  </si>
  <si>
    <t>1.2.1.</t>
  </si>
  <si>
    <t>3.2. Расчет (обоснование) расходов на уплату прочих налогов и сборов</t>
  </si>
  <si>
    <t>Транспортный налог</t>
  </si>
  <si>
    <t>3.3. Расчет (обоснование) расходов на иные платежи</t>
  </si>
  <si>
    <t>Наименование платежа</t>
  </si>
  <si>
    <t>Размер платежа (руб.)</t>
  </si>
  <si>
    <t>Количество платежей в год</t>
  </si>
  <si>
    <t>4. Расчет (обоснование) прочих расходов (кроме расходов на закупку товаров, работ, услуг)</t>
  </si>
  <si>
    <t>Площадь объекта</t>
  </si>
  <si>
    <t>Цена</t>
  </si>
  <si>
    <t>Сумма, (руб.)</t>
  </si>
  <si>
    <t>(кв. м)</t>
  </si>
  <si>
    <t>за 1 кв. м. (руб.)</t>
  </si>
  <si>
    <t>Иные расходы на капитальные вложения в объекты муниципальной собственности</t>
  </si>
  <si>
    <t>Количество выплат в год</t>
  </si>
  <si>
    <t>Исполнение судебных актов</t>
  </si>
  <si>
    <t>5. Расчет (обоснование) расходов на закупку товаров, работ, услуг</t>
  </si>
  <si>
    <t>5.1. Расчет (обоснование) расходов на оплату услуг связи</t>
  </si>
  <si>
    <t>Количество номеров (ед.)</t>
  </si>
  <si>
    <t>Количество платежей в год (ед.)</t>
  </si>
  <si>
    <t>Стоимость за единицу (руб.)</t>
  </si>
  <si>
    <t>Абонентская плата за абонентский номер</t>
  </si>
  <si>
    <t>Услуги интернет-провайдеров</t>
  </si>
  <si>
    <t>5.2. Расчет (обоснование) расходов на оплату коммунальных услуг</t>
  </si>
  <si>
    <t>Единица измерения</t>
  </si>
  <si>
    <t>Размер потребления ресурсов</t>
  </si>
  <si>
    <t>Тариф</t>
  </si>
  <si>
    <t>Индексация (процент)</t>
  </si>
  <si>
    <t>(с учетом НДС) (руб.)</t>
  </si>
  <si>
    <t>5.3. Расчет (обоснование) расходов на оплату аренды имущества</t>
  </si>
  <si>
    <t>Количество</t>
  </si>
  <si>
    <t>Ставка арендной платы</t>
  </si>
  <si>
    <t>Стоимость</t>
  </si>
  <si>
    <t>Аренда недвижимого имущества</t>
  </si>
  <si>
    <t>Аренда движимого имущества</t>
  </si>
  <si>
    <t>5.4. Расчет (обоснование) расходов на оплату работ, услуг по содержанию имущества</t>
  </si>
  <si>
    <t>Количество работ (услуг) (шт.)</t>
  </si>
  <si>
    <t>Стоимость работ (услуг) (руб.)</t>
  </si>
  <si>
    <t>Дезинфекция, дезинсекция, дератизация, газация</t>
  </si>
  <si>
    <t>4.1.</t>
  </si>
  <si>
    <t>5.1.</t>
  </si>
  <si>
    <t>5.5. Расчет (обоснование) расходов на оплату прочих работ, услуг</t>
  </si>
  <si>
    <t>Количество договоров (шт.)</t>
  </si>
  <si>
    <t>Стоимость услуги руб.</t>
  </si>
  <si>
    <t>5.6. Расчет (обоснование) расходов на приобретение основных средств</t>
  </si>
  <si>
    <t>Количество (шт.)</t>
  </si>
  <si>
    <t>Средняя стоимость (руб.)</t>
  </si>
  <si>
    <t>5.7. Расчет (обоснование) расходов на приобретение материальных запасов</t>
  </si>
  <si>
    <t>Цены за единицу (руб.)</t>
  </si>
  <si>
    <t>Приобретение материалов</t>
  </si>
  <si>
    <t>О.Н. Медведева</t>
  </si>
  <si>
    <t>Раздел 1. Поступления и выплаты</t>
  </si>
  <si>
    <t>Поступления, всего:</t>
  </si>
  <si>
    <t>доходы от оказания услуг, работ, компенсации затрат учреждений, всего</t>
  </si>
  <si>
    <t>в том числе:
доходы от собственности, всего</t>
  </si>
  <si>
    <t>Х</t>
  </si>
  <si>
    <t xml:space="preserve">в том числе:
доходы от размещения временно свободных средств </t>
  </si>
  <si>
    <t xml:space="preserve">в том числе:
субсидии на финансовое обеспечение выполнения муниципального  задания </t>
  </si>
  <si>
    <t>доходы от штрафов, пеней, иных сумм принудительного изъятия, всего:</t>
  </si>
  <si>
    <t>в том числе:
доходы от удержанных  сумм задатков и залогов поступивших в обеспечение заявок на участие в конкурсе (аукционе), а также в обеспечение исполнения контрактов (договоров) в соответствии с законодательством Российской Федерации</t>
  </si>
  <si>
    <t>безвозмездные денежные поступления, всего:</t>
  </si>
  <si>
    <t>гранты, гранты в форме субсидий, пожертвования, иные безвозмездные перечисления от физических и юридических лиц, в том числе иностранных организаций</t>
  </si>
  <si>
    <t>в том числе:
субсидии, предоставляемые в соответствии с абзацем вторым пункта 1 статьи 78.1 Бюджетного кодекса Российской Федерации</t>
  </si>
  <si>
    <t>в том числе:
целевые субсидии</t>
  </si>
  <si>
    <t>прочие доходы, всего:</t>
  </si>
  <si>
    <t>доходы от операций с активами, всего:</t>
  </si>
  <si>
    <t>доходы от уменьшения стоимости материальных запасов</t>
  </si>
  <si>
    <t>в том числе:
доходы от уменьшения стоимости основных средств</t>
  </si>
  <si>
    <t>прочие поступления, всего:</t>
  </si>
  <si>
    <t>в том числе:
увеличение остатков денежных средств</t>
  </si>
  <si>
    <t>в том числе:
средства во временном распоряжении</t>
  </si>
  <si>
    <t>прочие поступления денежных средств, всего:</t>
  </si>
  <si>
    <t>Выплаты, всего:</t>
  </si>
  <si>
    <t>в том числе:
на выплаты персоналу, всего:</t>
  </si>
  <si>
    <t>в том числе:
оплата труда</t>
  </si>
  <si>
    <t>взносы по обязательному социальному страхованию на выплаты по оплате труда работников и иные выплаты работникам учреждений</t>
  </si>
  <si>
    <t>социальные и иные выплаты населению, всего:</t>
  </si>
  <si>
    <t>в том числе:
выплата пособий, компенсаций  гражданам, кроме публичных нормативных обязательств</t>
  </si>
  <si>
    <t>уплата налогов, сборов и иных платежей, всего</t>
  </si>
  <si>
    <t>иные налоги (включаемые в состав расходов) в бюджеты бюджетной системы Российской Федерации, а также государственная пошлина</t>
  </si>
  <si>
    <t>в том числе:
налог на имущество организаций и земельный налог</t>
  </si>
  <si>
    <t>уплата штрафов (в том числе административных), пеней, иных платежей</t>
  </si>
  <si>
    <t xml:space="preserve">в том числе:
гранты, предоставляемые бюджетным учреждениям </t>
  </si>
  <si>
    <t>безвозмездные перечисления организациям и физическим лицам, всего:</t>
  </si>
  <si>
    <t>прочие выплаты (кроме выплат на закупку товаров, работ, услуг), всего:</t>
  </si>
  <si>
    <t>в том числе:
исполнение судебных актов Российской Федерации и мировых соглашений по возмещению вреда, причиненного в результате деятельности учреждения</t>
  </si>
  <si>
    <t>расходы на закупку товаров, работ, услуг, всего:</t>
  </si>
  <si>
    <t>в том числе:
закупку научно-исследовательских, опытно-конструкторских и технологических работ</t>
  </si>
  <si>
    <t>закупка товаров, работ, услуг в сфере информационно-коммуникационных технологий</t>
  </si>
  <si>
    <t>в том числе:
расходы на закупку услуг связи</t>
  </si>
  <si>
    <t>закупка товаров, работ, услуг в целях капитального ремонта муниципального имущества</t>
  </si>
  <si>
    <t>прочая закупка товаров, работ и услуг для обеспечения муниципальных нужд, всего:</t>
  </si>
  <si>
    <t>в том числе:
арендная плата за пользование недвижимым имуществом</t>
  </si>
  <si>
    <t xml:space="preserve"> закупку энергетических ресурсов</t>
  </si>
  <si>
    <t>Выплаты, уменьшающие доход, всего**</t>
  </si>
  <si>
    <t>в том числе:
налог на прибыль**</t>
  </si>
  <si>
    <t>Прочие выплаты, всего:</t>
  </si>
  <si>
    <t>Остаток средств на начало текущего финансового года</t>
  </si>
  <si>
    <t>Остаток средств на конец текущего финансового года</t>
  </si>
  <si>
    <t>** Показатель отражается со знаком «минус»</t>
  </si>
  <si>
    <t>* Показатель формируется в случае распределения  показателей плана между головным учреждением и его обосбленными подразделениями</t>
  </si>
  <si>
    <t>Раздел 2. Сведения по выплатам на закупку товаров, работ, услуг</t>
  </si>
  <si>
    <t>260000</t>
  </si>
  <si>
    <t>261000</t>
  </si>
  <si>
    <t>в том числе:                                                                             по контрактам (договорам), заключенным до начала текущего финансового года</t>
  </si>
  <si>
    <t>по контрактам (договорам), планируемым к заключению в соответствующем финансовом году</t>
  </si>
  <si>
    <t>в том числе:
за счет субсидий, предоставляемых  на финансовое обеспечение выполнения муниципального задания</t>
  </si>
  <si>
    <t>1.2.2.</t>
  </si>
  <si>
    <t>за счет субсидий, предоставляемых в соответствии с абзацем вторым пункта 1 статьи 78.1 Бюджетного кодекса Российской Федерации, всего:</t>
  </si>
  <si>
    <t>1.2.2.1.</t>
  </si>
  <si>
    <t>1.2.3.</t>
  </si>
  <si>
    <t>за счет прочих источников финансового обеспечения, всего:</t>
  </si>
  <si>
    <t>1.2.3.1.</t>
  </si>
  <si>
    <t>5</t>
  </si>
  <si>
    <t>2.</t>
  </si>
  <si>
    <t>1.2.1.1.</t>
  </si>
  <si>
    <t>Управление по образованию и науке администрации муниципального образования городской округ город-курорт Сочи Краснодарского края</t>
  </si>
  <si>
    <t>Внебюджетные средства</t>
  </si>
  <si>
    <t>А.М. Шхалахова</t>
  </si>
  <si>
    <t>Начальник планового отдела</t>
  </si>
  <si>
    <t>тел.270-24-56</t>
  </si>
  <si>
    <t>Исполнитель  Аргудяева Н.С.</t>
  </si>
  <si>
    <t>госка,мунка</t>
  </si>
  <si>
    <t>Приказ</t>
  </si>
  <si>
    <t>Охрана</t>
  </si>
  <si>
    <t>ГСС</t>
  </si>
  <si>
    <t>ГП развит отрасли обр-я</t>
  </si>
  <si>
    <t>ВСЕГО</t>
  </si>
  <si>
    <t>Раздел 1. Иные цели</t>
  </si>
  <si>
    <t>Электроснабжение</t>
  </si>
  <si>
    <t>КВт/час</t>
  </si>
  <si>
    <t>Теплоснабжение</t>
  </si>
  <si>
    <t xml:space="preserve"> Гкал</t>
  </si>
  <si>
    <t>Горячее водоснабжение</t>
  </si>
  <si>
    <t>Гкал</t>
  </si>
  <si>
    <t>Холодное водоснабжение</t>
  </si>
  <si>
    <t xml:space="preserve"> м.куб</t>
  </si>
  <si>
    <t>Холодное водоснабжение (для нужд) ГВС</t>
  </si>
  <si>
    <t>м.куб</t>
  </si>
  <si>
    <t>Водоотведение</t>
  </si>
  <si>
    <t>Вывоз мусора</t>
  </si>
  <si>
    <t>мес</t>
  </si>
  <si>
    <t>5.2.</t>
  </si>
  <si>
    <t>Подписка на периодические издания</t>
  </si>
  <si>
    <t>5.3.</t>
  </si>
  <si>
    <t>Приобретение оборудования для учебных кабинетов</t>
  </si>
  <si>
    <t>Расходы по приобретению канцелярских принадлежностей для учебных целей</t>
  </si>
  <si>
    <t>Продукты питания</t>
  </si>
  <si>
    <t>МП развит отрасли обр-я</t>
  </si>
  <si>
    <t>КОДЫ</t>
  </si>
  <si>
    <t>по выплатам стимулирующего характера</t>
  </si>
  <si>
    <t>тел. 270-28-91</t>
  </si>
  <si>
    <t>прочая закупка товаров, работ и услуг для обеспечения муниципальных нужд</t>
  </si>
  <si>
    <t xml:space="preserve"> закупка энергетических ресурсов</t>
  </si>
  <si>
    <t>расходы на закупку товаров, работ, услуг</t>
  </si>
  <si>
    <t>премии и гранты</t>
  </si>
  <si>
    <t xml:space="preserve">Уникальный код &lt;*****&gt;
</t>
  </si>
  <si>
    <t>6</t>
  </si>
  <si>
    <t>Приложение 2
к Порядку составления и утверждения  плана финансово-хозяйственной деятельности 
от «___» _________20__ г. № ____</t>
  </si>
  <si>
    <t>Сведения о средствах, поступающих во временное распоряжение Учреждения (подразделения)</t>
  </si>
  <si>
    <t>(очередной финансовый год)</t>
  </si>
  <si>
    <t>Сумма</t>
  </si>
  <si>
    <t>(руб., с точностью до двух знаков</t>
  </si>
  <si>
    <t>после запятой - 0,00)</t>
  </si>
  <si>
    <t>Остаток средств на начало года</t>
  </si>
  <si>
    <t>Остаток средств на конец года</t>
  </si>
  <si>
    <t>Поступление</t>
  </si>
  <si>
    <t>Выбытие</t>
  </si>
  <si>
    <t xml:space="preserve">                         VI. Справочная информация</t>
  </si>
  <si>
    <t>(руб., с точностью до двух знаков после запятой - 0,00)</t>
  </si>
  <si>
    <t>Объем публичных обязательств, всего:</t>
  </si>
  <si>
    <t>Объем бюджетных инвестиций (в части переданных полномочий государственного заказчика в соответствии с Бюджетным кодексом Российской Федерации), всего:</t>
  </si>
  <si>
    <t>Объем средств, поступивших во временное распоряжение, всего:</t>
  </si>
  <si>
    <t>___________/_А.М. Шхалахова</t>
  </si>
  <si>
    <t>(подпись)    (расшифровка подписи)</t>
  </si>
  <si>
    <t xml:space="preserve">                                  (подпись)    (расшифровка подписи)</t>
  </si>
  <si>
    <t xml:space="preserve">Начальник управления </t>
  </si>
  <si>
    <t>Водосток</t>
  </si>
  <si>
    <t>Поверка измерительного оборудования</t>
  </si>
  <si>
    <t>Код по бюджетной классификации Российской Федерации &lt;*&gt;</t>
  </si>
  <si>
    <t>Выплаты, уменьшающие доход, всего: &lt;****&gt;</t>
  </si>
  <si>
    <t>в том числе:
налог на прибыль &lt;****&gt;</t>
  </si>
  <si>
    <t>налог на добавленную стоимость &lt;****&gt;</t>
  </si>
  <si>
    <t>прочие налоги, уменьшающие доход &lt;****&gt;</t>
  </si>
  <si>
    <t xml:space="preserve"> &lt;*&gt; В графе 3 отражаются:
по строкам 1100 – 1620 - коды аналитической группы подвида доходов бюджетов классификации доходов бюджетов;
по строкам 1710 – 1720 -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 – 2650- коды видов расходов бюджетов классификации расходов бюджетов;
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 – 4010 - коды аналитической группы вида источников финансирования дефицитов бюджетов классификации источников финансирования дефицитов бюджетов.</t>
  </si>
  <si>
    <t>&lt;**&gt;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</si>
  <si>
    <t>&lt;***&gt; Показатели выплат по расходам на закупку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</si>
  <si>
    <t>&lt;****&gt; Показатель отражается со знаком «минус»</t>
  </si>
  <si>
    <t xml:space="preserve">Код по бюджетной классификации Российской Федерации &lt;*&gt;
</t>
  </si>
  <si>
    <t>Выплаты на закупку товаров, работ, услуг, всего:  &lt;**&gt; :</t>
  </si>
  <si>
    <t>в том числе: &lt;*&gt;</t>
  </si>
  <si>
    <t>Итого по контрактам, планируемым к заключению в соответствующем финансовом году &lt;***&gt;</t>
  </si>
  <si>
    <t>в том числе по году начала закупки:</t>
  </si>
  <si>
    <t>&lt;*&gt; В случаях, если учреждению предоставляются субсидия на иные цели, гранты в форме субсидий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2020, № 30, ст. 4884) (далее - федеральный проект),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261000, 262200 и 262300 Раздела 2 «Сведения по выплатам на закупку товаров, работ, услуг» Плана дополнительно детализируются по коду основного мероприятия целевой статьи расходов (11 - 12 разряды кода классификации расходов бюджетов) и коду направления расходов целевой статьи расходов (13 - 17 разряды кода классификации расходов бюджетов).</t>
  </si>
  <si>
    <t>&lt;**&gt;   Плановые показатели выплат на закупку товаров, работ, услуг по строке 260000 Раздела 2 «Сведения по выплатам на закупку товаров, работ, услуг» Плана распределяются на выплаты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(сторока 261000) и планируемым к заключению в соответствующем финансовом году (сторока 262000) и должны соответствовать показателям соответствующих граф по строке 2600 Раздела 1 «Поступления и выплаты» Плана.</t>
  </si>
  <si>
    <t>&lt;***&gt; Плановые показатели выплат на закупку товаров, работ, услуг  по строке 263000 муниципального бюджетного учреждения должен быть не менее суммы показателей строк 262100, 262200, 262300 по соответствующей графе.</t>
  </si>
  <si>
    <t>&lt;****&gt; Указывается дата подписания Плана руководителем (уполномоченным лицом) учреждения.</t>
  </si>
  <si>
    <t>&lt;*****&gt; 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</si>
  <si>
    <t>Приложение 2
к приказу управления по образованию и науке администрации муниципального образования городской округ город-курорт Сочи 
Краснодарского края
от «___» ___________20__ г. № ____</t>
  </si>
  <si>
    <t>Приложение 3
к Порядку составления и утверждения  плана финансово-хозяйственной деятельности 
от «___» ___________20__ г. № ____</t>
  </si>
  <si>
    <t>1.1. Расчеты (обоснования) расходов на оплату труда &lt;*&gt;</t>
  </si>
  <si>
    <t>Фонд оплаты труда в год, руб. (гр.4 * гр.5 *12)</t>
  </si>
  <si>
    <t>всего (гр.6 + гр.7 + гр.8)</t>
  </si>
  <si>
    <t>в том числе: краевой бюджет</t>
  </si>
  <si>
    <t>бюджет города Сочи</t>
  </si>
  <si>
    <t>в том числе: гранты</t>
  </si>
  <si>
    <t>3.</t>
  </si>
  <si>
    <t>4.</t>
  </si>
  <si>
    <t>&lt;*&gt; Формируется по элементу вида расходов 111 «Фонд оплаты труда учреждений» классификации расходов бюджетов.</t>
  </si>
  <si>
    <t>1.2.  Расчеты  (обоснования) выплат работникам при направлении их в служебные командировки</t>
  </si>
  <si>
    <t>Выплаты персоналу при направлении в служебные командировки, в том числе:</t>
  </si>
  <si>
    <t>компенсация дополнительных расходов, связанных с проживанием вне места постоянного жительства (суточных)</t>
  </si>
  <si>
    <t>компенсация расходов на проезд в служебные командировки</t>
  </si>
  <si>
    <t>компенсация расходов по найму жилого помещения</t>
  </si>
  <si>
    <t>1.3. Расчеты (обоснования) выплат работникам пособий по уходу за ребенком</t>
  </si>
  <si>
    <t>1.4.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t>
  </si>
  <si>
    <t>Страховые взносы в Пенсионный фонд Российской Федерации</t>
  </si>
  <si>
    <t>Страховые взносы в Фонд социального страхования Российской Федерации, в том числе:</t>
  </si>
  <si>
    <t>обязательное социальное страхование на случай временной нетрудоспособности и в связи с материнством</t>
  </si>
  <si>
    <t>обязательное социальное страхование от несчастных случаев на производстве и профессиональных заболеваний</t>
  </si>
  <si>
    <t>Страховые взносы в Федеральный фонд обязательного медицинского страхования</t>
  </si>
  <si>
    <t>Общая сумма выплат, (руб.) (гр.4* гр.5)</t>
  </si>
  <si>
    <t>Социальные выплаты гражданам, кроме публичных нормативных социальных выплат, в том числе:</t>
  </si>
  <si>
    <t>пособия, компенсации и иные социальные выплаты гражданам, кроме публичных нормативных социальных выплат, в том числе:</t>
  </si>
  <si>
    <t>Премии и гранты, в том числе:</t>
  </si>
  <si>
    <t>премии</t>
  </si>
  <si>
    <t>гранты</t>
  </si>
  <si>
    <t>Иные выплаты населению, в том числе:</t>
  </si>
  <si>
    <t>3.1. Расчет (обоснование) расходов на уплату налога на имущество, земельного налога</t>
  </si>
  <si>
    <t>Налог на имущество, в том числе:</t>
  </si>
  <si>
    <t>недвижимое имущество, в том числе:</t>
  </si>
  <si>
    <t>Движимое имущество, в том числе:</t>
  </si>
  <si>
    <t>Земельный налог, в том числе:</t>
  </si>
  <si>
    <t>по участкам:</t>
  </si>
  <si>
    <t>2.1.1.</t>
  </si>
  <si>
    <t>по транспортным средствам:</t>
  </si>
  <si>
    <t>4.1. Расчет (обоснование) расходов на капитальные вложения в объекты муниципальной собственности</t>
  </si>
  <si>
    <t>(гр. 4 x гр. 5)</t>
  </si>
  <si>
    <t>Приобретение объектов недвижимого имущества муниципальными учреждениями</t>
  </si>
  <si>
    <t>по объектам:</t>
  </si>
  <si>
    <t>Строительство (реконструкция) объектов недвижимого имущества муниципальными учреждениями</t>
  </si>
  <si>
    <t>3.1.1.</t>
  </si>
  <si>
    <t>4.2. Расчет (обоснование) иных расходов (кроме расходов на закупку товаров, работ, услуг и капитальные вложения в объекты муниципальной собственности)</t>
  </si>
  <si>
    <t>Выплаты, за исключением фонда оплаты труда учреждений, лицам, привлекаемым в соответствии с законодательством Российской Федерации для выполнения отдельных полномочий (за исключением выплат из фонда оплаты труда)</t>
  </si>
  <si>
    <t xml:space="preserve">Ремонт (текущий и капитальный) и реставрация имущества, в том числе: </t>
  </si>
  <si>
    <t>Содержание объектов имущества в чистоте, в том числе:</t>
  </si>
  <si>
    <t>Противопожарные мероприятия, в том числе:</t>
  </si>
  <si>
    <t xml:space="preserve">Расходы на оплату работ (услуг), осуществляемые в целях соблюдения нормативных предписаний по эксплуатации (содержанию) имущества, а также в целях определения его технического состояния, в том числе: </t>
  </si>
  <si>
    <t>4.1.1.</t>
  </si>
  <si>
    <t>5.</t>
  </si>
  <si>
    <t xml:space="preserve">Расходы на оплату иных работ (услуг), в том числе: </t>
  </si>
  <si>
    <t>Оплата услуг в области информационных технологий, в том числе:</t>
  </si>
  <si>
    <t>Оплата типографских работ, услуг, в том числе:</t>
  </si>
  <si>
    <t>Оплата медицинских услуг, в том числе:</t>
  </si>
  <si>
    <t>Оплата иных работ и услуг, в том числе:</t>
  </si>
  <si>
    <t>Приобретение основных средств, в том числе:</t>
  </si>
  <si>
    <t>по группам объектов:</t>
  </si>
  <si>
    <t>по группам материалов:</t>
  </si>
  <si>
    <t>6.</t>
  </si>
  <si>
    <t>7.</t>
  </si>
  <si>
    <t>8.</t>
  </si>
  <si>
    <t>Обслуживание АПС</t>
  </si>
  <si>
    <t>Техническое обслуживание теплосчетчиков</t>
  </si>
  <si>
    <t>Техническое обслуживание видеонаблюдения</t>
  </si>
  <si>
    <t>Техническое обслуживание тревожной кнопки КТС</t>
  </si>
  <si>
    <t>Техническое обслуживание МЧС 01</t>
  </si>
  <si>
    <t>Обслуживание компьютеров и оргтехники</t>
  </si>
  <si>
    <t>5.4.</t>
  </si>
  <si>
    <t>5.5.</t>
  </si>
  <si>
    <t>5.6.</t>
  </si>
  <si>
    <t>Лицензированная охрана</t>
  </si>
  <si>
    <t>4.1.2.</t>
  </si>
  <si>
    <t>Услуги по расчету налога за негативное воздействие на окружающую среду</t>
  </si>
  <si>
    <t>4.1.3.</t>
  </si>
  <si>
    <t>Медицинский осмотр</t>
  </si>
  <si>
    <t>Программа пищеблока "БЕСТ"</t>
  </si>
  <si>
    <t xml:space="preserve">курсы повышения квалификации </t>
  </si>
  <si>
    <t>4.1.4.</t>
  </si>
  <si>
    <t>1.1.2.</t>
  </si>
  <si>
    <t>Приобретение мебели для организации учебного процесса (стулья регулируемые)</t>
  </si>
  <si>
    <t>1.1.3.</t>
  </si>
  <si>
    <t>шт</t>
  </si>
  <si>
    <t>1.1.4.</t>
  </si>
  <si>
    <t xml:space="preserve"> на предоставление услуги лецинзированной охраны</t>
  </si>
  <si>
    <t>1.2.2.2.</t>
  </si>
  <si>
    <t xml:space="preserve"> на реализацию решения Городского Собрания Сочи «Об утверждении Перечня предложений и поручений граждан города Сочи, имеющих общественное значение по вопросам социального и экономического развития города за счет средств бюджета города Сочи»</t>
  </si>
  <si>
    <t>1.2.2.3.</t>
  </si>
  <si>
    <t>Таблица 5</t>
  </si>
  <si>
    <t xml:space="preserve">Сведения о вносимых изменениях </t>
  </si>
  <si>
    <t>Сумма изменений (+/-), (руб, с точностью до двух знаков после запятой - 0,00)</t>
  </si>
  <si>
    <t>Обоснование  и расчеты по вносимым изменениям</t>
  </si>
  <si>
    <t xml:space="preserve">Всего (по всем источникам финансового обеспечения) </t>
  </si>
  <si>
    <t>Остаток средств на начало планируемого финансового года:</t>
  </si>
  <si>
    <t>Поступления: всего</t>
  </si>
  <si>
    <t>Доходы от оказания услуг, работ</t>
  </si>
  <si>
    <t>Выплаты всего:</t>
  </si>
  <si>
    <t>Остаток средств на конец планируемого финансового года:</t>
  </si>
  <si>
    <t xml:space="preserve">Субсидии на финансовое обеспечение выполнения государственного задания  </t>
  </si>
  <si>
    <t>Субсидии, предоставляемые в соответствии с абзацем вторым пункта 1 статьи 78.1 Бюджетного кодекса Российской Федерации</t>
  </si>
  <si>
    <t>Средства обязательного медицинского страхования</t>
  </si>
  <si>
    <t xml:space="preserve">* Примечание: при оформлении  таблицы необходимо применить "Фильтр" по графе 3  "Не пустые строки" </t>
  </si>
  <si>
    <t>3.2.</t>
  </si>
  <si>
    <t>Огнезащитная обработка деревянных конструкций</t>
  </si>
  <si>
    <t>5.7.</t>
  </si>
  <si>
    <t>литр</t>
  </si>
  <si>
    <t>1.1.5.</t>
  </si>
  <si>
    <t>обработка тнрритории от вредителей</t>
  </si>
  <si>
    <t>на обработку территорий образовательных организайций от вредителей</t>
  </si>
  <si>
    <t>1.2.2.5.</t>
  </si>
  <si>
    <t>5.8.</t>
  </si>
  <si>
    <t>4.1.5.</t>
  </si>
  <si>
    <t>ОЗП (промывка)</t>
  </si>
  <si>
    <t>1.2.2.6.</t>
  </si>
  <si>
    <t>4.1.6.</t>
  </si>
  <si>
    <t>1.2.2.7.</t>
  </si>
  <si>
    <t>1.1.6.</t>
  </si>
  <si>
    <t>кронирование и снос деревьев</t>
  </si>
  <si>
    <t xml:space="preserve"> на выполнение работ по кронированию и сносу деревьев</t>
  </si>
  <si>
    <t>1.2.2.8.</t>
  </si>
  <si>
    <t>5.9.</t>
  </si>
  <si>
    <t>5.10.</t>
  </si>
  <si>
    <t>Санитарно эпид услуги</t>
  </si>
  <si>
    <t>5.11.</t>
  </si>
  <si>
    <t>Замеры сопротивления изоляции электрооборудования</t>
  </si>
  <si>
    <t>5.12.</t>
  </si>
  <si>
    <t>Поверка теплосчетчиков</t>
  </si>
  <si>
    <t>оплата труда</t>
  </si>
  <si>
    <t>налог на имущество организаций и земельный налог</t>
  </si>
  <si>
    <t>«СОГЛАСОВАНО»</t>
  </si>
  <si>
    <t>Заместитель начальника управления по образованию и науке администрации муниципального образования городской округ город-курорт Сочи Краснодарского края</t>
  </si>
  <si>
    <t>(Должность лица, согласовывающего документ)</t>
  </si>
  <si>
    <t>________________       А.О. Косян</t>
  </si>
  <si>
    <t>(подпись)                                         (ФИО)</t>
  </si>
  <si>
    <t>НА  2023 ГОД И ПЛАНОВЫЙ ПЕРИОД 2024  И 2025 ГОДОВ</t>
  </si>
  <si>
    <t>приобретение товаров, работ и услуг в пользу граждан в целях их социального обеспечения</t>
  </si>
  <si>
    <t>Остаток средств на начало текущего финансового года &lt;**&gt;</t>
  </si>
  <si>
    <t>Остаток средств на конец текущего финансового года &lt;**&gt;</t>
  </si>
  <si>
    <t>расходы на закупку товаров, работ, услуг, всего: &lt;***&gt;</t>
  </si>
  <si>
    <t>на 2023 г. (текущий финансовый год)</t>
  </si>
  <si>
    <t>на 2024 г.                 (1-ый год планового периода)</t>
  </si>
  <si>
    <t>на 2025 г.                   (2-ой год планового периода)</t>
  </si>
  <si>
    <t>в соответствии с Федеральным законом от 5 апреля 2013 г. № 44-ФЗ "О контрактной системе в сфере закупок товаров, работ, услуг дляобеспечения государственных и муниципальных нужд</t>
  </si>
  <si>
    <t>в соответствии с Федеральным законом от 18 июля 2011 г.№ 223-ФЗ "О закупках товаров,работ, услуг отдельными видами юридических лиц"</t>
  </si>
  <si>
    <r>
      <t>Сумма в год,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 xml:space="preserve"> x </t>
    </r>
    <r>
      <rPr>
        <sz val="10"/>
        <rFont val="Times New Roman"/>
        <family val="1"/>
      </rPr>
      <t>гр. 6</t>
    </r>
    <r>
      <rPr>
        <sz val="10"/>
        <color indexed="8"/>
        <rFont val="Times New Roman"/>
        <family val="1"/>
      </rPr>
      <t>)</t>
    </r>
  </si>
  <si>
    <r>
      <t>Сумма,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 xml:space="preserve"> x гр.6)</t>
    </r>
  </si>
  <si>
    <r>
      <t>Сумма исчисленного налога, подлежащего уплате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 xml:space="preserve"> / 100)</t>
    </r>
  </si>
  <si>
    <r>
      <t>Всего,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 xml:space="preserve"> / 100)</t>
    </r>
  </si>
  <si>
    <r>
      <t>Общая сумма платежей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t>
    </r>
  </si>
  <si>
    <r>
      <t>Общая сумма выплат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t>
    </r>
  </si>
  <si>
    <r>
      <t>(</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 xml:space="preserve"> x </t>
    </r>
    <r>
      <rPr>
        <sz val="10"/>
        <rFont val="Times New Roman"/>
        <family val="1"/>
      </rPr>
      <t>гр. 6</t>
    </r>
    <r>
      <rPr>
        <sz val="10"/>
        <color indexed="8"/>
        <rFont val="Times New Roman"/>
        <family val="1"/>
      </rPr>
      <t>)</t>
    </r>
  </si>
  <si>
    <r>
      <t>Сумма, руб. (</t>
    </r>
    <r>
      <rPr>
        <sz val="10"/>
        <rFont val="Times New Roman"/>
        <family val="1"/>
      </rPr>
      <t>гр. 5</t>
    </r>
    <r>
      <rPr>
        <sz val="10"/>
        <color indexed="8"/>
        <rFont val="Times New Roman"/>
        <family val="1"/>
      </rPr>
      <t xml:space="preserve"> x </t>
    </r>
    <r>
      <rPr>
        <sz val="10"/>
        <rFont val="Times New Roman"/>
        <family val="1"/>
      </rPr>
      <t>гр. 6</t>
    </r>
    <r>
      <rPr>
        <sz val="10"/>
        <color indexed="8"/>
        <rFont val="Times New Roman"/>
        <family val="1"/>
      </rPr>
      <t xml:space="preserve"> x (1 + </t>
    </r>
    <r>
      <rPr>
        <sz val="10"/>
        <rFont val="Times New Roman"/>
        <family val="1"/>
      </rPr>
      <t>гр. 7</t>
    </r>
    <r>
      <rPr>
        <sz val="10"/>
        <color indexed="8"/>
        <rFont val="Times New Roman"/>
        <family val="1"/>
      </rPr>
      <t xml:space="preserve"> / 100)</t>
    </r>
  </si>
  <si>
    <r>
      <t>с учетом НДС,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t>
    </r>
  </si>
  <si>
    <r>
      <t>Сумма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t>
    </r>
  </si>
  <si>
    <r>
      <t>Сумма (руб.) (</t>
    </r>
    <r>
      <rPr>
        <sz val="10"/>
        <rFont val="Times New Roman"/>
        <family val="1"/>
      </rPr>
      <t>гр. 4</t>
    </r>
    <r>
      <rPr>
        <sz val="10"/>
        <color indexed="8"/>
        <rFont val="Times New Roman"/>
        <family val="1"/>
      </rPr>
      <t xml:space="preserve"> x </t>
    </r>
    <r>
      <rPr>
        <sz val="10"/>
        <rFont val="Times New Roman"/>
        <family val="1"/>
      </rPr>
      <t>гр. 3</t>
    </r>
    <r>
      <rPr>
        <sz val="10"/>
        <color indexed="8"/>
        <rFont val="Times New Roman"/>
        <family val="1"/>
      </rPr>
      <t>)</t>
    </r>
  </si>
  <si>
    <r>
      <t>(</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t>
    </r>
  </si>
  <si>
    <r>
      <t>(</t>
    </r>
    <r>
      <rPr>
        <sz val="10"/>
        <rFont val="Times New Roman"/>
        <family val="1"/>
      </rPr>
      <t>гр. 5</t>
    </r>
    <r>
      <rPr>
        <sz val="10"/>
        <color indexed="8"/>
        <rFont val="Times New Roman"/>
        <family val="1"/>
      </rPr>
      <t xml:space="preserve"> x </t>
    </r>
    <r>
      <rPr>
        <sz val="10"/>
        <rFont val="Times New Roman"/>
        <family val="1"/>
      </rPr>
      <t>гр. 6</t>
    </r>
    <r>
      <rPr>
        <sz val="10"/>
        <color indexed="8"/>
        <rFont val="Times New Roman"/>
        <family val="1"/>
      </rPr>
      <t>)</t>
    </r>
  </si>
  <si>
    <t>Исполнитель  Доброва Ю.В.</t>
  </si>
  <si>
    <t>Исполнитель ____________/Доброва Ю.В.  Тел. 270-24-56</t>
  </si>
  <si>
    <t>найм</t>
  </si>
  <si>
    <t>классное федерального</t>
  </si>
  <si>
    <t>Приказ№1832 от 30.12.2021</t>
  </si>
  <si>
    <t>компенсация питания</t>
  </si>
  <si>
    <t xml:space="preserve">Приказ №1885 от 25.11.2022 во изм Приказ №1428 от 27.09.2022 </t>
  </si>
  <si>
    <t>профилактика несовершеннолетних</t>
  </si>
  <si>
    <t>льгроты села</t>
  </si>
  <si>
    <t>Приказ № 2137 от 30.12.2022</t>
  </si>
  <si>
    <t>дети сочи</t>
  </si>
  <si>
    <t>Муниципальное общеобразовательное бюджетное учреждение основная общеобразовательная школа №81 города Сочи имени М.А.Быковой</t>
  </si>
  <si>
    <t>КПП                               231801001</t>
  </si>
  <si>
    <t>354234, Краснодарский край, г. Сочи, с. Волковка, ул. Космическая, д.1</t>
  </si>
  <si>
    <t>Директор МОБУ ООШ №81 г. Сочи имени М.А.Быковой</t>
  </si>
  <si>
    <t>Е.В.Лопина</t>
  </si>
  <si>
    <t>03302458</t>
  </si>
  <si>
    <t>гсс</t>
  </si>
  <si>
    <t xml:space="preserve">Приказ № 2132 от 30.12.2022    </t>
  </si>
  <si>
    <t>ЛОС</t>
  </si>
  <si>
    <t>подписка</t>
  </si>
  <si>
    <t xml:space="preserve">тревожная кнгопка </t>
  </si>
  <si>
    <t>Приобретение учебников</t>
  </si>
  <si>
    <t>Приобретение учебных пособий</t>
  </si>
  <si>
    <t>приобретение пищеблоков</t>
  </si>
  <si>
    <t>аттестаты</t>
  </si>
  <si>
    <t>катриджи</t>
  </si>
  <si>
    <t>Приказ№1201 от 27.01.2023</t>
  </si>
  <si>
    <t>класс.р0во</t>
  </si>
  <si>
    <t>советник</t>
  </si>
  <si>
    <t>Приказ№118 от 30.12.2021</t>
  </si>
  <si>
    <t>Приказ№118 от 27.01.2023</t>
  </si>
  <si>
    <t>соц.поддержка</t>
  </si>
  <si>
    <t>Приказ№116 от 27.01.2023</t>
  </si>
  <si>
    <t>воспитательская</t>
  </si>
  <si>
    <t>Приказ№115 от27.01.2023</t>
  </si>
  <si>
    <t>губернаторские</t>
  </si>
  <si>
    <t xml:space="preserve">приказ №115 от 27,01,2023 </t>
  </si>
  <si>
    <t>губернаторские мб</t>
  </si>
  <si>
    <t xml:space="preserve">ОВЗ </t>
  </si>
  <si>
    <t>овз</t>
  </si>
  <si>
    <t>товары с Гос символами</t>
  </si>
  <si>
    <t>приобретение товаров с Гос символикой</t>
  </si>
  <si>
    <t>на приобретение товаров (работ, услуг) в целях
оснащения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</si>
  <si>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Приказ №300 от 02.03.2023 во изменение Приказ №101 от 25.01.2023</t>
  </si>
  <si>
    <t>Приказ №363 от 09.03.2023</t>
  </si>
  <si>
    <t>трудоустройство</t>
  </si>
  <si>
    <t>Пприказ №301 от 02.03.2023</t>
  </si>
  <si>
    <t>учеба</t>
  </si>
  <si>
    <t>повышение уровня квалификации работников общеобразовательных организаций</t>
  </si>
  <si>
    <t>Приказ №599 от 10.04.2023 во изм Приказа №2138 от 30.12.2022</t>
  </si>
  <si>
    <t>Хоз.нужды</t>
  </si>
  <si>
    <t>Горюче-смазочные материалы</t>
  </si>
  <si>
    <t>Проведение инвентаризации и паспортизации зданий</t>
  </si>
  <si>
    <t>Приказ №672 от 20.04.2023</t>
  </si>
  <si>
    <t>терроризм ктс</t>
  </si>
  <si>
    <t>на участие в  профилактике терроризма и экстремизма в части обеспечения инженерно-террористической защищенности муниципальных  учреждений образования</t>
  </si>
  <si>
    <t>КТС</t>
  </si>
  <si>
    <t>Программное обеспечение</t>
  </si>
  <si>
    <t>Приказ №943 от 30.05.2023</t>
  </si>
  <si>
    <t>обеспечение громкой связи</t>
  </si>
  <si>
    <t>Обеспечение систем громко связи</t>
  </si>
  <si>
    <t>Приказ №945 от 30.05.2023</t>
  </si>
  <si>
    <t>вредители</t>
  </si>
  <si>
    <t>Приказ №1195 во изм. 26.07.2023Приказ№ 212 от 14.02.2023</t>
  </si>
  <si>
    <t>Дети Сочи</t>
  </si>
  <si>
    <t>Приказ№1188 от24.07.2023</t>
  </si>
  <si>
    <t>первоклассник</t>
  </si>
  <si>
    <t>на предоставление социальной поддержки семьям, в которых ребенок поступает в первый класс</t>
  </si>
  <si>
    <t>ув.род.платы</t>
  </si>
  <si>
    <t>ежегодная выплата к началу учебного года (5750-00)</t>
  </si>
  <si>
    <t>Приказ № 1230 от 04.08.2023</t>
  </si>
  <si>
    <t>ПРИКАЗ №1253 ОТ 14.08.2023</t>
  </si>
  <si>
    <t>охрана</t>
  </si>
  <si>
    <t>Приказ№1277 от 18.08.2023</t>
  </si>
  <si>
    <t>свет.элем</t>
  </si>
  <si>
    <t>по предупреждению детского дорожно-транспортного травматизма</t>
  </si>
  <si>
    <t>1.1.7.</t>
  </si>
  <si>
    <t>светоотражающие элементы</t>
  </si>
  <si>
    <t>мягкий инвентарь</t>
  </si>
  <si>
    <t>Аттестация и экспертиза рабочих мест</t>
  </si>
  <si>
    <t>Расходы по приобретению строительных материалов</t>
  </si>
  <si>
    <t>лицензия</t>
  </si>
  <si>
    <t>Приказ№1305 от28.08.2023</t>
  </si>
  <si>
    <t>от "06"  сентября    2023 г.</t>
  </si>
  <si>
    <t>Приказ №1358 от05,09,2023 во изм Приказ № 2137 от 30.12.2022</t>
  </si>
  <si>
    <t>Приказ №1358 от 05.09.2023</t>
  </si>
  <si>
    <t>Приказ №1257 воПриказ №1236 от 07.08.2023</t>
  </si>
  <si>
    <t>Приказ №1357 от 05.09.2023</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</si>
</sst>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_);_(* \(#,##0.00\);_(* &quot;-&quot;??_);_(@_)"/>
    <numFmt numFmtId="173" formatCode="#,##0.000"/>
    <numFmt numFmtId="174" formatCode="#,##0.0000"/>
    <numFmt numFmtId="175" formatCode="#,##0.00000"/>
    <numFmt numFmtId="176" formatCode="#,##0.000000"/>
    <numFmt numFmtId="177" formatCode="#,##0.0000000"/>
    <numFmt numFmtId="178" formatCode="[$-FC19]d\ mmmm\ yyyy\ &quot;г.&quot;"/>
    <numFmt numFmtId="179" formatCode="0.00000"/>
    <numFmt numFmtId="180" formatCode="0.0000"/>
    <numFmt numFmtId="181" formatCode="0.000"/>
    <numFmt numFmtId="182" formatCode="0.0"/>
    <numFmt numFmtId="183" formatCode="#,##0.0"/>
    <numFmt numFmtId="184" formatCode="#,##0.00000000"/>
    <numFmt numFmtId="185" formatCode="0.000000"/>
    <numFmt numFmtId="186" formatCode="0.0000000"/>
    <numFmt numFmtId="187" formatCode="&quot;Да&quot;;&quot;Да&quot;;&quot;Нет&quot;"/>
    <numFmt numFmtId="188" formatCode="&quot;Истина&quot;;&quot;Истина&quot;;&quot;Ложь&quot;"/>
    <numFmt numFmtId="189" formatCode="&quot;Вкл&quot;;&quot;Вкл&quot;;&quot;Выкл&quot;"/>
    <numFmt numFmtId="190" formatCode="[$€-2]\ ###,000_);[Red]\([$€-2]\ ###,000\)"/>
    <numFmt numFmtId="191" formatCode="0000"/>
  </numFmts>
  <fonts count="91">
    <font>
      <sz val="11"/>
      <color theme="1"/>
      <name val="Calibri"/>
      <family val="2"/>
    </font>
    <font>
      <sz val="11"/>
      <color indexed="8"/>
      <name val="Calibri"/>
      <family val="2"/>
    </font>
    <font>
      <sz val="10"/>
      <name val="Arial Cyr"/>
      <family val="0"/>
    </font>
    <font>
      <sz val="14"/>
      <name val="Times New Roman"/>
      <family val="1"/>
    </font>
    <font>
      <b/>
      <sz val="14"/>
      <name val="Times New Roman"/>
      <family val="1"/>
    </font>
    <font>
      <sz val="10"/>
      <color indexed="18"/>
      <name val="Comic Sans MS"/>
      <family val="4"/>
    </font>
    <font>
      <sz val="10"/>
      <color indexed="8"/>
      <name val="Arial"/>
      <family val="2"/>
    </font>
    <font>
      <sz val="9"/>
      <color indexed="8"/>
      <name val="Times New Roman"/>
      <family val="1"/>
    </font>
    <font>
      <b/>
      <sz val="12"/>
      <color indexed="8"/>
      <name val="Times New Roman"/>
      <family val="1"/>
    </font>
    <font>
      <sz val="10"/>
      <color indexed="8"/>
      <name val="Times New Roman"/>
      <family val="1"/>
    </font>
    <font>
      <b/>
      <u val="single"/>
      <sz val="14"/>
      <color indexed="18"/>
      <name val="Times New Roman"/>
      <family val="1"/>
    </font>
    <font>
      <b/>
      <sz val="9"/>
      <color indexed="8"/>
      <name val="Arial"/>
      <family val="2"/>
    </font>
    <font>
      <sz val="9"/>
      <color indexed="8"/>
      <name val="Arial"/>
      <family val="2"/>
    </font>
    <font>
      <sz val="10"/>
      <color indexed="18"/>
      <name val="Arial"/>
      <family val="2"/>
    </font>
    <font>
      <sz val="10"/>
      <color indexed="8"/>
      <name val="Arial Narrow"/>
      <family val="2"/>
    </font>
    <font>
      <b/>
      <sz val="11"/>
      <color indexed="8"/>
      <name val="Times New Roman"/>
      <family val="1"/>
    </font>
    <font>
      <i/>
      <sz val="10"/>
      <color indexed="18"/>
      <name val="Times New Roman"/>
      <family val="1"/>
    </font>
    <font>
      <sz val="9"/>
      <color indexed="18"/>
      <name val="Times New Roman"/>
      <family val="1"/>
    </font>
    <font>
      <sz val="12"/>
      <name val="Times New Roman"/>
      <family val="1"/>
    </font>
    <font>
      <sz val="10"/>
      <name val="Arial"/>
      <family val="2"/>
    </font>
    <font>
      <sz val="11"/>
      <name val="Times New Roman"/>
      <family val="1"/>
    </font>
    <font>
      <sz val="10"/>
      <name val="Times New Roman"/>
      <family val="1"/>
    </font>
    <font>
      <i/>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b/>
      <sz val="14"/>
      <color indexed="8"/>
      <name val="Times New Roman"/>
      <family val="1"/>
    </font>
    <font>
      <sz val="12"/>
      <color indexed="8"/>
      <name val="Times New Roman"/>
      <family val="1"/>
    </font>
    <font>
      <sz val="14"/>
      <color indexed="10"/>
      <name val="Times New Roman"/>
      <family val="1"/>
    </font>
    <font>
      <sz val="11"/>
      <color indexed="8"/>
      <name val="Times New Roman"/>
      <family val="1"/>
    </font>
    <font>
      <sz val="12"/>
      <color indexed="10"/>
      <name val="Times New Roman"/>
      <family val="1"/>
    </font>
    <font>
      <sz val="11"/>
      <name val="Calibri"/>
      <family val="2"/>
    </font>
    <font>
      <sz val="14"/>
      <color indexed="9"/>
      <name val="Times New Roman"/>
      <family val="1"/>
    </font>
    <font>
      <sz val="11"/>
      <color indexed="9"/>
      <name val="Times New Roman"/>
      <family val="1"/>
    </font>
    <font>
      <sz val="11"/>
      <color indexed="10"/>
      <name val="Times New Roman"/>
      <family val="1"/>
    </font>
    <font>
      <sz val="10"/>
      <color indexed="10"/>
      <name val="Times New Roman"/>
      <family val="1"/>
    </font>
    <font>
      <sz val="10"/>
      <color indexed="9"/>
      <name val="Times New Roman"/>
      <family val="1"/>
    </font>
    <font>
      <sz val="9"/>
      <color indexed="9"/>
      <name val="Calibri"/>
      <family val="2"/>
    </font>
    <font>
      <sz val="14"/>
      <color indexed="8"/>
      <name val="Calibri"/>
      <family val="2"/>
    </font>
    <font>
      <sz val="16"/>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
      <b/>
      <sz val="14"/>
      <color theme="1"/>
      <name val="Times New Roman"/>
      <family val="1"/>
    </font>
    <font>
      <sz val="14"/>
      <color rgb="FF000000"/>
      <name val="Times New Roman"/>
      <family val="1"/>
    </font>
    <font>
      <sz val="12"/>
      <color theme="1"/>
      <name val="Times New Roman"/>
      <family val="1"/>
    </font>
    <font>
      <sz val="10"/>
      <color theme="1"/>
      <name val="Times New Roman"/>
      <family val="1"/>
    </font>
    <font>
      <sz val="14"/>
      <color rgb="FFFF0000"/>
      <name val="Times New Roman"/>
      <family val="1"/>
    </font>
    <font>
      <sz val="11"/>
      <color theme="1"/>
      <name val="Times New Roman"/>
      <family val="1"/>
    </font>
    <font>
      <sz val="12"/>
      <color rgb="FFFF0000"/>
      <name val="Times New Roman"/>
      <family val="1"/>
    </font>
    <font>
      <sz val="14"/>
      <color theme="0"/>
      <name val="Times New Roman"/>
      <family val="1"/>
    </font>
    <font>
      <sz val="11"/>
      <color theme="0"/>
      <name val="Times New Roman"/>
      <family val="1"/>
    </font>
    <font>
      <sz val="11"/>
      <color rgb="FFFF0000"/>
      <name val="Times New Roman"/>
      <family val="1"/>
    </font>
    <font>
      <sz val="10"/>
      <color rgb="FFFF0000"/>
      <name val="Times New Roman"/>
      <family val="1"/>
    </font>
    <font>
      <sz val="10"/>
      <color theme="0"/>
      <name val="Times New Roman"/>
      <family val="1"/>
    </font>
    <font>
      <sz val="9"/>
      <color theme="0"/>
      <name val="Calibri"/>
      <family val="2"/>
    </font>
    <font>
      <sz val="14"/>
      <color theme="1"/>
      <name val="Calibri"/>
      <family val="2"/>
    </font>
    <font>
      <b/>
      <sz val="14"/>
      <color rgb="FF000000"/>
      <name val="Times New Roman"/>
      <family val="1"/>
    </font>
    <font>
      <sz val="16"/>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9"/>
        <bgColor indexed="64"/>
      </patternFill>
    </fill>
    <fill>
      <patternFill patternType="solid">
        <fgColor indexed="43"/>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right style="thin"/>
      <top/>
      <bottom/>
    </border>
    <border>
      <left style="thin"/>
      <right style="thin"/>
      <top style="thin"/>
      <bottom style="thin"/>
    </border>
    <border>
      <left/>
      <right/>
      <top/>
      <bottom style="thin"/>
    </border>
    <border>
      <left/>
      <right/>
      <top style="thin"/>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color indexed="63"/>
      </top>
      <bottom style="thin">
        <color rgb="FF000000"/>
      </bottom>
    </border>
    <border>
      <left style="thin"/>
      <right style="thin"/>
      <top style="thin"/>
      <bottom/>
    </border>
    <border>
      <left style="thin"/>
      <right>
        <color indexed="63"/>
      </right>
      <top style="thin"/>
      <bottom style="thin"/>
    </border>
    <border>
      <left/>
      <right style="medium"/>
      <top/>
      <bottom style="medium"/>
    </border>
    <border>
      <left>
        <color indexed="63"/>
      </left>
      <right style="thin"/>
      <top style="thin"/>
      <bottom style="thin"/>
    </border>
    <border>
      <left style="thin"/>
      <right style="thin"/>
      <top/>
      <bottom style="thin"/>
    </border>
    <border>
      <left style="medium"/>
      <right/>
      <top style="medium"/>
      <bottom style="medium"/>
    </border>
    <border>
      <left style="medium"/>
      <right style="medium"/>
      <top style="medium"/>
      <bottom style="medium"/>
    </border>
    <border>
      <left/>
      <right/>
      <top style="thin"/>
      <bottom style="thin"/>
    </border>
    <border>
      <left style="thin"/>
      <right style="thin"/>
      <top/>
      <bottom/>
    </border>
    <border>
      <left style="thin"/>
      <right/>
      <top style="thin"/>
      <bottom/>
    </border>
    <border>
      <left/>
      <right style="thin"/>
      <top style="thin"/>
      <bottom/>
    </border>
    <border>
      <left style="thin"/>
      <right>
        <color indexed="63"/>
      </right>
      <top>
        <color indexed="63"/>
      </top>
      <bottom style="thin"/>
    </border>
    <border>
      <left>
        <color indexed="63"/>
      </left>
      <right style="thin"/>
      <top>
        <color indexed="63"/>
      </top>
      <bottom style="thin"/>
    </border>
    <border>
      <left/>
      <right/>
      <top style="thin">
        <color rgb="FF000000"/>
      </top>
      <bottom/>
    </border>
  </borders>
  <cellStyleXfs count="10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 fillId="20" borderId="0">
      <alignment horizontal="left"/>
      <protection/>
    </xf>
    <xf numFmtId="0" fontId="6" fillId="20" borderId="0">
      <alignment horizontal="left" vertical="top"/>
      <protection/>
    </xf>
    <xf numFmtId="0" fontId="6" fillId="20" borderId="0">
      <alignment horizontal="left" vertical="center"/>
      <protection/>
    </xf>
    <xf numFmtId="0" fontId="7" fillId="20" borderId="0">
      <alignment horizontal="center" vertical="center"/>
      <protection/>
    </xf>
    <xf numFmtId="0" fontId="8" fillId="20" borderId="0">
      <alignment horizontal="center"/>
      <protection/>
    </xf>
    <xf numFmtId="0" fontId="6" fillId="20" borderId="0">
      <alignment horizontal="left" vertical="top"/>
      <protection/>
    </xf>
    <xf numFmtId="0" fontId="7" fillId="20" borderId="0">
      <alignment horizontal="center"/>
      <protection/>
    </xf>
    <xf numFmtId="0" fontId="9" fillId="20" borderId="0">
      <alignment horizontal="right"/>
      <protection/>
    </xf>
    <xf numFmtId="0" fontId="6" fillId="20" borderId="0">
      <alignment horizontal="left"/>
      <protection/>
    </xf>
    <xf numFmtId="0" fontId="7" fillId="20" borderId="0">
      <alignment horizontal="center" vertical="top"/>
      <protection/>
    </xf>
    <xf numFmtId="0" fontId="10" fillId="20" borderId="0">
      <alignment horizontal="center" vertical="center"/>
      <protection/>
    </xf>
    <xf numFmtId="0" fontId="11" fillId="20" borderId="0">
      <alignment horizontal="left" vertical="center"/>
      <protection/>
    </xf>
    <xf numFmtId="0" fontId="9" fillId="20" borderId="0">
      <alignment horizontal="right" vertical="top"/>
      <protection/>
    </xf>
    <xf numFmtId="0" fontId="11" fillId="20" borderId="0">
      <alignment horizontal="left"/>
      <protection/>
    </xf>
    <xf numFmtId="0" fontId="7" fillId="20" borderId="0">
      <alignment horizontal="center" vertical="center"/>
      <protection/>
    </xf>
    <xf numFmtId="0" fontId="6" fillId="20" borderId="0">
      <alignment horizontal="left" vertical="center"/>
      <protection/>
    </xf>
    <xf numFmtId="0" fontId="7" fillId="20" borderId="0">
      <alignment horizontal="center" vertical="top"/>
      <protection/>
    </xf>
    <xf numFmtId="0" fontId="12" fillId="20" borderId="0">
      <alignment horizontal="left" vertical="top"/>
      <protection/>
    </xf>
    <xf numFmtId="0" fontId="6" fillId="20" borderId="0">
      <alignment horizontal="left" vertical="top"/>
      <protection/>
    </xf>
    <xf numFmtId="0" fontId="9" fillId="20" borderId="0">
      <alignment horizontal="left" vertical="top"/>
      <protection/>
    </xf>
    <xf numFmtId="0" fontId="13" fillId="21" borderId="0">
      <alignment horizontal="left" vertical="top"/>
      <protection/>
    </xf>
    <xf numFmtId="0" fontId="9" fillId="20" borderId="0">
      <alignment horizontal="center" vertical="top"/>
      <protection/>
    </xf>
    <xf numFmtId="0" fontId="6" fillId="22" borderId="0">
      <alignment horizontal="left" vertical="top"/>
      <protection/>
    </xf>
    <xf numFmtId="0" fontId="12" fillId="20" borderId="0">
      <alignment horizontal="center"/>
      <protection/>
    </xf>
    <xf numFmtId="0" fontId="9" fillId="20" borderId="0">
      <alignment horizontal="center"/>
      <protection/>
    </xf>
    <xf numFmtId="0" fontId="14" fillId="20" borderId="0">
      <alignment horizontal="left" vertical="top"/>
      <protection/>
    </xf>
    <xf numFmtId="0" fontId="15" fillId="20" borderId="0">
      <alignment horizontal="center"/>
      <protection/>
    </xf>
    <xf numFmtId="0" fontId="16" fillId="20" borderId="0">
      <alignment horizontal="right" vertical="center"/>
      <protection/>
    </xf>
    <xf numFmtId="0" fontId="17" fillId="20" borderId="0">
      <alignment horizontal="center" vertical="center"/>
      <protection/>
    </xf>
    <xf numFmtId="0" fontId="16" fillId="20" borderId="0">
      <alignment horizontal="left" vertical="top"/>
      <protection/>
    </xf>
    <xf numFmtId="0" fontId="9" fillId="22" borderId="0">
      <alignment horizontal="center" vertical="center"/>
      <protection/>
    </xf>
    <xf numFmtId="0" fontId="6" fillId="22" borderId="0">
      <alignment horizontal="center" vertical="center"/>
      <protection/>
    </xf>
    <xf numFmtId="0" fontId="9" fillId="20" borderId="0">
      <alignment horizontal="center" vertical="center"/>
      <protection/>
    </xf>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0" fontId="57" fillId="29" borderId="1" applyNumberFormat="0" applyAlignment="0" applyProtection="0"/>
    <xf numFmtId="0" fontId="58" fillId="30" borderId="2" applyNumberFormat="0" applyAlignment="0" applyProtection="0"/>
    <xf numFmtId="0" fontId="59" fillId="30" borderId="1" applyNumberFormat="0" applyAlignment="0" applyProtection="0"/>
    <xf numFmtId="0" fontId="6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31" borderId="7" applyNumberFormat="0" applyAlignment="0" applyProtection="0"/>
    <xf numFmtId="0" fontId="66" fillId="0" borderId="0" applyNumberFormat="0" applyFill="0" applyBorder="0" applyAlignment="0" applyProtection="0"/>
    <xf numFmtId="0" fontId="67" fillId="32" borderId="0" applyNumberFormat="0" applyBorder="0" applyAlignment="0" applyProtection="0"/>
    <xf numFmtId="0" fontId="2" fillId="0" borderId="0">
      <alignment/>
      <protection/>
    </xf>
    <xf numFmtId="0" fontId="19" fillId="0" borderId="0">
      <alignment/>
      <protection/>
    </xf>
    <xf numFmtId="0" fontId="0" fillId="0" borderId="0">
      <alignment/>
      <protection/>
    </xf>
    <xf numFmtId="0" fontId="19" fillId="0" borderId="0">
      <alignment/>
      <protection/>
    </xf>
    <xf numFmtId="0" fontId="1" fillId="0" borderId="0">
      <alignment/>
      <protection/>
    </xf>
    <xf numFmtId="0" fontId="1" fillId="0" borderId="0">
      <alignment/>
      <protection/>
    </xf>
    <xf numFmtId="0" fontId="2" fillId="0" borderId="0">
      <alignment/>
      <protection/>
    </xf>
    <xf numFmtId="0" fontId="68" fillId="0" borderId="0" applyNumberFormat="0" applyFill="0" applyBorder="0" applyAlignment="0" applyProtection="0"/>
    <xf numFmtId="0" fontId="69" fillId="33" borderId="0" applyNumberFormat="0" applyBorder="0" applyAlignment="0" applyProtection="0"/>
    <xf numFmtId="0" fontId="70" fillId="0" borderId="0" applyNumberFormat="0" applyFill="0" applyBorder="0" applyAlignment="0" applyProtection="0"/>
    <xf numFmtId="0" fontId="0" fillId="34" borderId="8" applyNumberFormat="0" applyFont="0" applyAlignment="0" applyProtection="0"/>
    <xf numFmtId="9" fontId="0" fillId="0" borderId="0" applyFont="0" applyFill="0" applyBorder="0" applyAlignment="0" applyProtection="0"/>
    <xf numFmtId="0" fontId="71" fillId="0" borderId="9" applyNumberFormat="0" applyFill="0" applyAlignment="0" applyProtection="0"/>
    <xf numFmtId="0" fontId="7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3" fillId="35" borderId="0" applyNumberFormat="0" applyBorder="0" applyAlignment="0" applyProtection="0"/>
  </cellStyleXfs>
  <cellXfs count="384">
    <xf numFmtId="0" fontId="0" fillId="0" borderId="0" xfId="0" applyFont="1" applyAlignment="1">
      <alignment/>
    </xf>
    <xf numFmtId="0" fontId="74" fillId="0" borderId="0" xfId="0" applyFont="1" applyAlignment="1">
      <alignment/>
    </xf>
    <xf numFmtId="0" fontId="74" fillId="0" borderId="0" xfId="0" applyFont="1" applyAlignment="1">
      <alignment horizontal="right" vertical="center"/>
    </xf>
    <xf numFmtId="0" fontId="75" fillId="0" borderId="0" xfId="0" applyFont="1" applyAlignment="1">
      <alignment/>
    </xf>
    <xf numFmtId="0" fontId="75" fillId="0" borderId="10" xfId="0" applyFont="1" applyBorder="1" applyAlignment="1">
      <alignment wrapText="1"/>
    </xf>
    <xf numFmtId="0" fontId="75" fillId="0" borderId="10" xfId="0" applyFont="1" applyBorder="1" applyAlignment="1">
      <alignment horizontal="justify" vertical="top" wrapText="1"/>
    </xf>
    <xf numFmtId="0" fontId="74" fillId="0" borderId="10" xfId="0" applyFont="1" applyBorder="1" applyAlignment="1">
      <alignment wrapText="1"/>
    </xf>
    <xf numFmtId="0" fontId="74" fillId="0" borderId="10" xfId="0" applyFont="1" applyBorder="1" applyAlignment="1">
      <alignment horizontal="justify" vertical="top" wrapText="1"/>
    </xf>
    <xf numFmtId="0" fontId="76" fillId="0" borderId="0" xfId="0" applyFont="1" applyAlignment="1">
      <alignment horizontal="justify"/>
    </xf>
    <xf numFmtId="0" fontId="74" fillId="0" borderId="10" xfId="0" applyFont="1" applyBorder="1" applyAlignment="1">
      <alignment horizontal="center" wrapText="1"/>
    </xf>
    <xf numFmtId="0" fontId="74" fillId="0" borderId="11" xfId="0" applyFont="1" applyBorder="1" applyAlignment="1">
      <alignment vertical="center" wrapText="1"/>
    </xf>
    <xf numFmtId="0" fontId="76" fillId="0" borderId="0" xfId="0" applyFont="1" applyBorder="1" applyAlignment="1">
      <alignment horizontal="center"/>
    </xf>
    <xf numFmtId="0" fontId="74" fillId="0" borderId="0" xfId="0" applyFont="1" applyFill="1" applyAlignment="1">
      <alignment/>
    </xf>
    <xf numFmtId="0" fontId="3" fillId="0" borderId="0" xfId="0" applyFont="1" applyAlignment="1">
      <alignment/>
    </xf>
    <xf numFmtId="0" fontId="3" fillId="0" borderId="10" xfId="0" applyFont="1" applyBorder="1" applyAlignment="1">
      <alignment horizontal="center" vertical="center" wrapText="1"/>
    </xf>
    <xf numFmtId="4" fontId="4" fillId="0" borderId="10" xfId="0" applyNumberFormat="1" applyFont="1" applyBorder="1" applyAlignment="1">
      <alignment horizontal="center" vertical="center" wrapText="1"/>
    </xf>
    <xf numFmtId="4" fontId="3"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Alignment="1">
      <alignment vertical="center"/>
    </xf>
    <xf numFmtId="0" fontId="74" fillId="0" borderId="0" xfId="0" applyFont="1" applyAlignment="1">
      <alignment horizontal="center"/>
    </xf>
    <xf numFmtId="0" fontId="74" fillId="0" borderId="11" xfId="0" applyFont="1" applyBorder="1" applyAlignment="1">
      <alignment horizontal="center" vertical="center" wrapText="1"/>
    </xf>
    <xf numFmtId="0" fontId="74" fillId="0" borderId="11" xfId="0" applyFont="1" applyBorder="1" applyAlignment="1">
      <alignment horizontal="justify" vertical="center" wrapText="1"/>
    </xf>
    <xf numFmtId="0" fontId="74" fillId="0" borderId="0" xfId="0" applyFont="1" applyAlignment="1">
      <alignment horizontal="center"/>
    </xf>
    <xf numFmtId="0" fontId="74" fillId="0" borderId="11" xfId="0" applyFont="1" applyBorder="1" applyAlignment="1">
      <alignment horizontal="justify" vertical="center" wrapText="1"/>
    </xf>
    <xf numFmtId="0" fontId="74" fillId="0" borderId="11" xfId="0" applyFont="1" applyBorder="1" applyAlignment="1">
      <alignment horizontal="center" vertical="center" wrapText="1"/>
    </xf>
    <xf numFmtId="0" fontId="74" fillId="0" borderId="0" xfId="0" applyFont="1" applyFill="1" applyBorder="1" applyAlignment="1">
      <alignment/>
    </xf>
    <xf numFmtId="0" fontId="77"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18" fillId="0" borderId="13" xfId="0" applyFont="1" applyFill="1" applyBorder="1" applyAlignment="1">
      <alignment horizontal="left" vertical="center" wrapText="1" indent="2"/>
    </xf>
    <xf numFmtId="0" fontId="77" fillId="0" borderId="0" xfId="0" applyFont="1" applyFill="1" applyAlignment="1">
      <alignment/>
    </xf>
    <xf numFmtId="0" fontId="77" fillId="0" borderId="0" xfId="0" applyFont="1" applyFill="1" applyAlignment="1">
      <alignment horizontal="center"/>
    </xf>
    <xf numFmtId="0" fontId="18" fillId="0" borderId="13" xfId="0" applyFont="1" applyFill="1" applyBorder="1" applyAlignment="1">
      <alignment horizontal="center" vertical="center" wrapText="1"/>
    </xf>
    <xf numFmtId="49" fontId="77" fillId="0" borderId="13" xfId="0" applyNumberFormat="1" applyFont="1" applyFill="1" applyBorder="1" applyAlignment="1">
      <alignment horizontal="center" vertical="center" wrapText="1"/>
    </xf>
    <xf numFmtId="0" fontId="18" fillId="0" borderId="13" xfId="0" applyFont="1" applyFill="1" applyBorder="1" applyAlignment="1">
      <alignment horizontal="left" vertical="center" wrapText="1" indent="3"/>
    </xf>
    <xf numFmtId="0" fontId="77" fillId="0" borderId="13" xfId="0" applyFont="1" applyFill="1" applyBorder="1" applyAlignment="1">
      <alignment horizontal="left" vertical="center" wrapText="1" indent="3"/>
    </xf>
    <xf numFmtId="0" fontId="77" fillId="0" borderId="13" xfId="0" applyFont="1" applyFill="1" applyBorder="1" applyAlignment="1">
      <alignment horizontal="left" vertical="center" wrapText="1" indent="2"/>
    </xf>
    <xf numFmtId="0" fontId="18" fillId="0" borderId="13" xfId="0" applyFont="1" applyFill="1" applyBorder="1" applyAlignment="1">
      <alignment horizontal="left" vertical="center" wrapText="1" indent="4"/>
    </xf>
    <xf numFmtId="0" fontId="77" fillId="0" borderId="13" xfId="0" applyFont="1" applyFill="1" applyBorder="1" applyAlignment="1">
      <alignment horizontal="left" vertical="center" wrapText="1" indent="4"/>
    </xf>
    <xf numFmtId="0" fontId="18" fillId="0" borderId="0" xfId="0" applyFont="1" applyFill="1" applyBorder="1" applyAlignment="1">
      <alignment horizontal="left" vertical="center" wrapText="1" indent="3"/>
    </xf>
    <xf numFmtId="0" fontId="3" fillId="0" borderId="0" xfId="0" applyFont="1" applyFill="1" applyBorder="1" applyAlignment="1">
      <alignment/>
    </xf>
    <xf numFmtId="4" fontId="77" fillId="0" borderId="13" xfId="0" applyNumberFormat="1" applyFont="1" applyFill="1" applyBorder="1" applyAlignment="1">
      <alignment horizontal="center" vertical="center" wrapText="1"/>
    </xf>
    <xf numFmtId="0" fontId="18" fillId="0" borderId="13" xfId="0" applyFont="1" applyFill="1" applyBorder="1" applyAlignment="1">
      <alignment horizontal="left" vertical="center" wrapText="1" indent="6"/>
    </xf>
    <xf numFmtId="0" fontId="77" fillId="0" borderId="13" xfId="0" applyFont="1" applyFill="1" applyBorder="1" applyAlignment="1">
      <alignment horizontal="left" vertical="center" wrapText="1" indent="9"/>
    </xf>
    <xf numFmtId="0" fontId="18" fillId="0" borderId="13" xfId="0" applyFont="1" applyFill="1" applyBorder="1" applyAlignment="1">
      <alignment horizontal="left" vertical="center" wrapText="1" indent="9"/>
    </xf>
    <xf numFmtId="0" fontId="18" fillId="0" borderId="0" xfId="0" applyFont="1" applyFill="1" applyBorder="1" applyAlignment="1">
      <alignment horizontal="left" vertical="center" wrapText="1" indent="2"/>
    </xf>
    <xf numFmtId="0" fontId="77" fillId="0" borderId="0" xfId="0" applyFont="1" applyFill="1" applyBorder="1" applyAlignment="1">
      <alignment horizontal="center" vertical="center" wrapText="1"/>
    </xf>
    <xf numFmtId="4" fontId="77" fillId="0" borderId="0" xfId="0" applyNumberFormat="1" applyFont="1" applyFill="1" applyBorder="1" applyAlignment="1">
      <alignment horizontal="center" vertical="center" wrapText="1"/>
    </xf>
    <xf numFmtId="0" fontId="3" fillId="0" borderId="14" xfId="0" applyFont="1" applyFill="1" applyBorder="1" applyAlignment="1">
      <alignment horizontal="center"/>
    </xf>
    <xf numFmtId="0" fontId="20" fillId="0" borderId="15" xfId="0" applyFont="1" applyFill="1" applyBorder="1" applyAlignment="1">
      <alignment horizontal="center" vertical="center" wrapText="1"/>
    </xf>
    <xf numFmtId="0" fontId="18" fillId="0" borderId="0" xfId="0" applyFont="1" applyBorder="1" applyAlignment="1">
      <alignment horizontal="left" vertical="center" wrapText="1" indent="3"/>
    </xf>
    <xf numFmtId="0" fontId="3" fillId="0" borderId="13" xfId="0" applyFont="1" applyFill="1" applyBorder="1" applyAlignment="1">
      <alignment vertical="center" wrapText="1"/>
    </xf>
    <xf numFmtId="0" fontId="77" fillId="0" borderId="0" xfId="0" applyFont="1" applyFill="1" applyBorder="1" applyAlignment="1">
      <alignment horizontal="center" vertical="center"/>
    </xf>
    <xf numFmtId="4" fontId="77" fillId="0" borderId="13" xfId="0" applyNumberFormat="1" applyFont="1" applyFill="1" applyBorder="1" applyAlignment="1">
      <alignment horizontal="center" wrapText="1"/>
    </xf>
    <xf numFmtId="0" fontId="74" fillId="0" borderId="0" xfId="0" applyFont="1" applyBorder="1" applyAlignment="1">
      <alignment/>
    </xf>
    <xf numFmtId="0" fontId="74" fillId="0" borderId="13" xfId="0" applyFont="1" applyBorder="1" applyAlignment="1">
      <alignment horizontal="center" vertical="center" wrapText="1"/>
    </xf>
    <xf numFmtId="0" fontId="75" fillId="0" borderId="0" xfId="0" applyFont="1" applyAlignment="1">
      <alignment vertical="center"/>
    </xf>
    <xf numFmtId="0" fontId="74" fillId="0" borderId="0" xfId="0" applyFont="1" applyAlignment="1">
      <alignment horizontal="right" vertical="top"/>
    </xf>
    <xf numFmtId="0" fontId="74" fillId="0" borderId="10" xfId="0" applyFont="1" applyBorder="1" applyAlignment="1">
      <alignment horizontal="center" vertical="center" wrapText="1"/>
    </xf>
    <xf numFmtId="0" fontId="75" fillId="0" borderId="16" xfId="0" applyFont="1" applyBorder="1" applyAlignment="1">
      <alignment vertical="center" wrapText="1"/>
    </xf>
    <xf numFmtId="0" fontId="75" fillId="0" borderId="17" xfId="0" applyFont="1" applyBorder="1" applyAlignment="1">
      <alignment vertical="center" wrapText="1"/>
    </xf>
    <xf numFmtId="4" fontId="75" fillId="0" borderId="17" xfId="0" applyNumberFormat="1" applyFont="1" applyBorder="1" applyAlignment="1">
      <alignment horizontal="center" vertical="center" wrapText="1"/>
    </xf>
    <xf numFmtId="0" fontId="75" fillId="0" borderId="18" xfId="0" applyFont="1" applyBorder="1" applyAlignment="1">
      <alignment vertical="center" wrapText="1"/>
    </xf>
    <xf numFmtId="0" fontId="74" fillId="0" borderId="10" xfId="0" applyFont="1" applyBorder="1" applyAlignment="1">
      <alignment vertical="center" wrapText="1"/>
    </xf>
    <xf numFmtId="4" fontId="74" fillId="0" borderId="10" xfId="0" applyNumberFormat="1" applyFont="1" applyBorder="1" applyAlignment="1">
      <alignment horizontal="center" vertical="center" wrapText="1"/>
    </xf>
    <xf numFmtId="0" fontId="74" fillId="0" borderId="13" xfId="0" applyFont="1" applyBorder="1" applyAlignment="1">
      <alignment vertical="center" wrapText="1"/>
    </xf>
    <xf numFmtId="0" fontId="18" fillId="0" borderId="13" xfId="0" applyFont="1" applyFill="1" applyBorder="1" applyAlignment="1">
      <alignment vertical="center" wrapText="1"/>
    </xf>
    <xf numFmtId="2" fontId="74" fillId="0" borderId="10" xfId="0" applyNumberFormat="1" applyFont="1" applyBorder="1" applyAlignment="1">
      <alignment horizontal="center" vertical="center" wrapText="1"/>
    </xf>
    <xf numFmtId="4" fontId="74" fillId="0" borderId="13" xfId="0" applyNumberFormat="1" applyFont="1" applyBorder="1" applyAlignment="1">
      <alignment horizontal="center" vertical="center" wrapText="1"/>
    </xf>
    <xf numFmtId="0" fontId="18" fillId="0" borderId="0" xfId="0" applyFont="1" applyFill="1" applyBorder="1" applyAlignment="1">
      <alignment horizontal="left" vertical="center" wrapText="1" indent="6"/>
    </xf>
    <xf numFmtId="0" fontId="74" fillId="0" borderId="11" xfId="0" applyFont="1" applyBorder="1" applyAlignment="1">
      <alignment horizontal="center" vertical="center" wrapText="1"/>
    </xf>
    <xf numFmtId="0" fontId="74" fillId="0" borderId="19" xfId="0" applyFont="1" applyBorder="1" applyAlignment="1">
      <alignment horizontal="center" vertical="center" wrapText="1"/>
    </xf>
    <xf numFmtId="0" fontId="74" fillId="0" borderId="16" xfId="0" applyFont="1" applyBorder="1" applyAlignment="1">
      <alignment horizontal="center" vertical="center" wrapText="1"/>
    </xf>
    <xf numFmtId="0" fontId="0" fillId="0" borderId="13" xfId="0" applyBorder="1" applyAlignment="1">
      <alignment/>
    </xf>
    <xf numFmtId="0" fontId="77" fillId="0" borderId="13" xfId="0" applyFont="1" applyFill="1" applyBorder="1" applyAlignment="1">
      <alignment horizontal="center" vertical="center" wrapText="1"/>
    </xf>
    <xf numFmtId="0" fontId="78" fillId="0" borderId="0" xfId="0" applyFont="1" applyFill="1" applyBorder="1" applyAlignment="1">
      <alignment vertical="center" wrapText="1"/>
    </xf>
    <xf numFmtId="0" fontId="79" fillId="0" borderId="0" xfId="0" applyFont="1" applyAlignment="1">
      <alignment horizontal="left" vertical="center" wrapText="1"/>
    </xf>
    <xf numFmtId="0" fontId="74" fillId="0" borderId="0" xfId="0" applyFont="1" applyFill="1" applyBorder="1" applyAlignment="1">
      <alignment/>
    </xf>
    <xf numFmtId="0" fontId="3" fillId="0" borderId="0" xfId="0" applyFont="1" applyFill="1" applyBorder="1" applyAlignment="1">
      <alignment horizontal="right" wrapText="1"/>
    </xf>
    <xf numFmtId="0" fontId="3" fillId="0" borderId="0" xfId="0" applyFont="1" applyFill="1" applyBorder="1" applyAlignment="1">
      <alignment horizontal="left" wrapText="1"/>
    </xf>
    <xf numFmtId="0" fontId="74" fillId="0" borderId="0" xfId="0" applyFont="1" applyBorder="1" applyAlignment="1">
      <alignment wrapText="1"/>
    </xf>
    <xf numFmtId="0" fontId="74" fillId="0" borderId="0" xfId="0" applyFont="1" applyFill="1" applyBorder="1" applyAlignment="1">
      <alignment horizontal="right" wrapText="1"/>
    </xf>
    <xf numFmtId="0" fontId="74" fillId="0" borderId="0" xfId="0" applyFont="1" applyFill="1" applyAlignment="1">
      <alignment horizontal="center"/>
    </xf>
    <xf numFmtId="0" fontId="74" fillId="0" borderId="0" xfId="0" applyFont="1" applyFill="1" applyBorder="1" applyAlignment="1">
      <alignment horizontal="center"/>
    </xf>
    <xf numFmtId="0" fontId="74" fillId="0" borderId="13" xfId="0" applyFont="1" applyFill="1" applyBorder="1" applyAlignment="1">
      <alignment horizontal="center"/>
    </xf>
    <xf numFmtId="0" fontId="74" fillId="0" borderId="0" xfId="0" applyFont="1" applyFill="1" applyAlignment="1">
      <alignment horizontal="right"/>
    </xf>
    <xf numFmtId="0" fontId="3" fillId="0" borderId="0" xfId="0" applyFont="1" applyFill="1" applyAlignment="1">
      <alignment/>
    </xf>
    <xf numFmtId="0" fontId="74" fillId="0" borderId="0" xfId="0" applyFont="1" applyFill="1" applyBorder="1" applyAlignment="1">
      <alignment horizontal="right"/>
    </xf>
    <xf numFmtId="0" fontId="79" fillId="0" borderId="0" xfId="0" applyFont="1" applyFill="1" applyBorder="1" applyAlignment="1">
      <alignment/>
    </xf>
    <xf numFmtId="0" fontId="74" fillId="0" borderId="0" xfId="0" applyFont="1" applyFill="1" applyAlignment="1">
      <alignment horizontal="right" wrapText="1"/>
    </xf>
    <xf numFmtId="0" fontId="74" fillId="0" borderId="0" xfId="0" applyFont="1" applyFill="1" applyBorder="1" applyAlignment="1">
      <alignment horizontal="right" vertical="center"/>
    </xf>
    <xf numFmtId="0" fontId="0" fillId="0" borderId="0" xfId="0" applyFont="1" applyFill="1" applyAlignment="1">
      <alignment/>
    </xf>
    <xf numFmtId="0" fontId="18" fillId="0" borderId="13" xfId="0" applyFont="1" applyFill="1" applyBorder="1" applyAlignment="1">
      <alignment horizontal="left" vertical="center" wrapText="1"/>
    </xf>
    <xf numFmtId="0" fontId="77" fillId="0" borderId="20" xfId="0" applyFont="1" applyFill="1" applyBorder="1" applyAlignment="1">
      <alignment horizontal="center" vertical="center" wrapText="1"/>
    </xf>
    <xf numFmtId="0" fontId="0" fillId="0" borderId="0" xfId="0" applyFont="1" applyFill="1" applyAlignment="1">
      <alignment/>
    </xf>
    <xf numFmtId="0" fontId="80" fillId="0" borderId="0" xfId="0" applyFont="1" applyAlignment="1">
      <alignment/>
    </xf>
    <xf numFmtId="4" fontId="81" fillId="0" borderId="13" xfId="0" applyNumberFormat="1" applyFont="1" applyFill="1" applyBorder="1" applyAlignment="1">
      <alignment horizontal="center" vertical="center" wrapText="1"/>
    </xf>
    <xf numFmtId="4" fontId="18" fillId="0" borderId="13" xfId="0" applyNumberFormat="1" applyFont="1" applyFill="1" applyBorder="1" applyAlignment="1">
      <alignment horizontal="center" wrapText="1"/>
    </xf>
    <xf numFmtId="0" fontId="20" fillId="0" borderId="0" xfId="0" applyFont="1" applyAlignment="1">
      <alignment/>
    </xf>
    <xf numFmtId="4" fontId="18" fillId="0" borderId="13" xfId="0" applyNumberFormat="1" applyFont="1" applyFill="1" applyBorder="1" applyAlignment="1">
      <alignment horizontal="center" vertical="center" wrapText="1"/>
    </xf>
    <xf numFmtId="0" fontId="47" fillId="0" borderId="0" xfId="0" applyFont="1" applyFill="1" applyAlignment="1">
      <alignment/>
    </xf>
    <xf numFmtId="0" fontId="18" fillId="0" borderId="14" xfId="0" applyFont="1" applyFill="1" applyBorder="1" applyAlignment="1">
      <alignment horizontal="left" vertical="center" wrapText="1" indent="3"/>
    </xf>
    <xf numFmtId="0" fontId="20" fillId="0" borderId="0" xfId="0" applyFont="1" applyFill="1" applyBorder="1" applyAlignment="1">
      <alignment horizontal="left" vertical="center" wrapText="1"/>
    </xf>
    <xf numFmtId="0" fontId="0" fillId="0" borderId="0" xfId="0" applyFont="1" applyFill="1" applyAlignment="1">
      <alignment horizontal="center"/>
    </xf>
    <xf numFmtId="49" fontId="18" fillId="0" borderId="13" xfId="0" applyNumberFormat="1" applyFont="1" applyFill="1" applyBorder="1" applyAlignment="1">
      <alignment horizontal="center" vertical="center" wrapText="1"/>
    </xf>
    <xf numFmtId="4" fontId="47" fillId="0" borderId="0" xfId="0" applyNumberFormat="1" applyFont="1" applyFill="1" applyAlignment="1">
      <alignment/>
    </xf>
    <xf numFmtId="0" fontId="47" fillId="0" borderId="0" xfId="0" applyFont="1" applyFill="1" applyAlignment="1">
      <alignment/>
    </xf>
    <xf numFmtId="0" fontId="4" fillId="0" borderId="13" xfId="0" applyFont="1" applyFill="1" applyBorder="1" applyAlignment="1">
      <alignment vertical="center" wrapText="1"/>
    </xf>
    <xf numFmtId="0" fontId="3" fillId="0" borderId="13" xfId="0" applyFont="1" applyFill="1" applyBorder="1" applyAlignment="1">
      <alignment horizontal="left" vertical="center" wrapText="1" indent="2"/>
    </xf>
    <xf numFmtId="0" fontId="3" fillId="0" borderId="13" xfId="0" applyFont="1" applyFill="1" applyBorder="1" applyAlignment="1">
      <alignment horizontal="left" vertical="center" wrapText="1" indent="9"/>
    </xf>
    <xf numFmtId="0" fontId="3" fillId="0" borderId="13" xfId="0" applyFont="1" applyFill="1" applyBorder="1" applyAlignment="1">
      <alignment horizontal="left" vertical="center" wrapText="1" indent="4"/>
    </xf>
    <xf numFmtId="0" fontId="75" fillId="0" borderId="13" xfId="0" applyFont="1" applyFill="1" applyBorder="1" applyAlignment="1">
      <alignment vertical="center" wrapText="1"/>
    </xf>
    <xf numFmtId="0" fontId="4" fillId="0" borderId="13" xfId="0" applyFont="1" applyFill="1" applyBorder="1" applyAlignment="1">
      <alignment horizontal="center" vertical="center" wrapText="1"/>
    </xf>
    <xf numFmtId="0" fontId="77" fillId="0" borderId="0" xfId="0" applyFont="1" applyFill="1" applyAlignment="1">
      <alignment horizontal="center" vertical="center"/>
    </xf>
    <xf numFmtId="0" fontId="77" fillId="0" borderId="21" xfId="0" applyFont="1" applyFill="1" applyBorder="1" applyAlignment="1">
      <alignment horizontal="center" vertical="center" wrapText="1"/>
    </xf>
    <xf numFmtId="0" fontId="77" fillId="0" borderId="13" xfId="0" applyFont="1" applyFill="1" applyBorder="1" applyAlignment="1">
      <alignment horizontal="left" vertical="center" wrapText="1"/>
    </xf>
    <xf numFmtId="0" fontId="0" fillId="0" borderId="0" xfId="0" applyFont="1" applyFill="1" applyAlignment="1">
      <alignment/>
    </xf>
    <xf numFmtId="0" fontId="18" fillId="0" borderId="0" xfId="0" applyFont="1" applyFill="1" applyAlignment="1">
      <alignment/>
    </xf>
    <xf numFmtId="0" fontId="77" fillId="0" borderId="13" xfId="0" applyFont="1" applyBorder="1" applyAlignment="1">
      <alignment horizontal="center" vertical="center" wrapText="1"/>
    </xf>
    <xf numFmtId="0" fontId="3" fillId="0" borderId="0" xfId="0" applyFont="1" applyFill="1" applyAlignment="1">
      <alignment horizontal="right" vertical="center"/>
    </xf>
    <xf numFmtId="0" fontId="3" fillId="0" borderId="0" xfId="0" applyFont="1" applyFill="1" applyAlignment="1">
      <alignment horizontal="justify" vertical="center"/>
    </xf>
    <xf numFmtId="0" fontId="3" fillId="0" borderId="0" xfId="0" applyFont="1" applyFill="1" applyAlignment="1">
      <alignment vertical="center"/>
    </xf>
    <xf numFmtId="0" fontId="3" fillId="0" borderId="0" xfId="0" applyFont="1" applyFill="1" applyAlignment="1">
      <alignment horizontal="center" vertical="center"/>
    </xf>
    <xf numFmtId="0" fontId="3" fillId="0" borderId="13" xfId="0" applyFont="1" applyFill="1" applyBorder="1" applyAlignment="1">
      <alignment horizontal="center" vertical="center"/>
    </xf>
    <xf numFmtId="49" fontId="3" fillId="0" borderId="13" xfId="0" applyNumberFormat="1" applyFont="1" applyFill="1" applyBorder="1" applyAlignment="1">
      <alignment horizontal="center" vertical="center" wrapText="1"/>
    </xf>
    <xf numFmtId="4" fontId="3" fillId="0" borderId="13" xfId="0" applyNumberFormat="1" applyFont="1" applyFill="1" applyBorder="1" applyAlignment="1">
      <alignment horizontal="center" vertical="center" wrapText="1"/>
    </xf>
    <xf numFmtId="4" fontId="3" fillId="0" borderId="0" xfId="0" applyNumberFormat="1" applyFont="1" applyFill="1" applyAlignment="1">
      <alignment/>
    </xf>
    <xf numFmtId="0" fontId="74" fillId="0" borderId="13" xfId="0" applyFont="1" applyBorder="1" applyAlignment="1">
      <alignment vertical="top" wrapText="1"/>
    </xf>
    <xf numFmtId="0" fontId="3" fillId="0" borderId="13" xfId="0" applyFont="1" applyBorder="1" applyAlignment="1">
      <alignment wrapText="1"/>
    </xf>
    <xf numFmtId="4" fontId="3" fillId="36" borderId="13" xfId="0" applyNumberFormat="1" applyFont="1" applyFill="1" applyBorder="1" applyAlignment="1">
      <alignment horizontal="center" vertical="center" wrapText="1"/>
    </xf>
    <xf numFmtId="0" fontId="3" fillId="0" borderId="0" xfId="0" applyFont="1" applyFill="1" applyAlignment="1">
      <alignment horizontal="left"/>
    </xf>
    <xf numFmtId="0" fontId="3" fillId="36" borderId="13" xfId="0" applyFont="1" applyFill="1" applyBorder="1" applyAlignment="1">
      <alignment horizontal="center" vertical="center" wrapText="1"/>
    </xf>
    <xf numFmtId="0" fontId="3" fillId="0" borderId="13" xfId="0" applyFont="1" applyFill="1" applyBorder="1" applyAlignment="1">
      <alignment horizontal="justify" vertical="center" wrapText="1"/>
    </xf>
    <xf numFmtId="49" fontId="3" fillId="0" borderId="0" xfId="0" applyNumberFormat="1" applyFont="1" applyFill="1" applyBorder="1" applyAlignment="1">
      <alignment horizontal="center" vertical="center" wrapText="1"/>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justify" vertical="center" wrapText="1"/>
    </xf>
    <xf numFmtId="4" fontId="3" fillId="0" borderId="0" xfId="0" applyNumberFormat="1" applyFont="1" applyFill="1" applyBorder="1" applyAlignment="1">
      <alignment horizontal="center" vertical="center" wrapText="1"/>
    </xf>
    <xf numFmtId="0" fontId="3" fillId="0" borderId="0" xfId="0" applyFont="1" applyBorder="1" applyAlignment="1">
      <alignment vertical="center" wrapText="1"/>
    </xf>
    <xf numFmtId="0" fontId="3" fillId="0" borderId="0" xfId="0" applyFont="1" applyFill="1" applyAlignment="1">
      <alignment/>
    </xf>
    <xf numFmtId="0" fontId="3" fillId="0" borderId="0" xfId="0" applyFont="1" applyFill="1" applyAlignment="1">
      <alignment wrapText="1"/>
    </xf>
    <xf numFmtId="0" fontId="3" fillId="0" borderId="15" xfId="0" applyFont="1" applyFill="1" applyBorder="1" applyAlignment="1">
      <alignment/>
    </xf>
    <xf numFmtId="4" fontId="82" fillId="0" borderId="0" xfId="0" applyNumberFormat="1" applyFont="1" applyFill="1" applyAlignment="1">
      <alignment/>
    </xf>
    <xf numFmtId="0" fontId="77" fillId="0" borderId="13" xfId="0" applyFont="1" applyBorder="1" applyAlignment="1">
      <alignment vertical="center" wrapText="1"/>
    </xf>
    <xf numFmtId="0" fontId="74" fillId="0" borderId="0" xfId="0" applyFont="1" applyAlignment="1">
      <alignment horizontal="left" wrapText="1"/>
    </xf>
    <xf numFmtId="0" fontId="74" fillId="0" borderId="0" xfId="0" applyFont="1" applyAlignment="1">
      <alignment wrapText="1"/>
    </xf>
    <xf numFmtId="0" fontId="74" fillId="0" borderId="0" xfId="0" applyFont="1" applyAlignment="1">
      <alignment horizontal="justify" vertical="center"/>
    </xf>
    <xf numFmtId="0" fontId="78" fillId="0" borderId="0" xfId="0" applyFont="1" applyAlignment="1">
      <alignment horizontal="justify" vertical="center"/>
    </xf>
    <xf numFmtId="0" fontId="78" fillId="0" borderId="0" xfId="0" applyFont="1" applyAlignment="1">
      <alignment vertical="center"/>
    </xf>
    <xf numFmtId="0" fontId="77" fillId="0" borderId="0" xfId="0" applyFont="1" applyAlignment="1">
      <alignment horizontal="right" vertical="center"/>
    </xf>
    <xf numFmtId="0" fontId="77" fillId="0" borderId="0" xfId="0" applyFont="1" applyFill="1" applyAlignment="1">
      <alignment wrapText="1"/>
    </xf>
    <xf numFmtId="0" fontId="78" fillId="0" borderId="20" xfId="0" applyFont="1" applyFill="1" applyBorder="1" applyAlignment="1">
      <alignment horizontal="center" vertical="center" wrapText="1"/>
    </xf>
    <xf numFmtId="0" fontId="78" fillId="0" borderId="13" xfId="0" applyFont="1" applyFill="1" applyBorder="1" applyAlignment="1">
      <alignment horizontal="center" vertical="center" wrapText="1"/>
    </xf>
    <xf numFmtId="0" fontId="78" fillId="0" borderId="13" xfId="0" applyFont="1" applyFill="1" applyBorder="1" applyAlignment="1">
      <alignment horizontal="left" vertical="center" wrapText="1"/>
    </xf>
    <xf numFmtId="0" fontId="77" fillId="0" borderId="13" xfId="0" applyFont="1" applyFill="1" applyBorder="1" applyAlignment="1">
      <alignment vertical="center" wrapText="1"/>
    </xf>
    <xf numFmtId="0" fontId="78" fillId="0" borderId="13" xfId="0" applyFont="1" applyBorder="1" applyAlignment="1">
      <alignment vertical="center" wrapText="1"/>
    </xf>
    <xf numFmtId="0" fontId="78" fillId="0" borderId="13" xfId="0" applyFont="1" applyFill="1" applyBorder="1" applyAlignment="1">
      <alignment vertical="center" wrapText="1"/>
    </xf>
    <xf numFmtId="1" fontId="78" fillId="0" borderId="13" xfId="0" applyNumberFormat="1" applyFont="1" applyFill="1" applyBorder="1" applyAlignment="1">
      <alignment vertical="center" wrapText="1"/>
    </xf>
    <xf numFmtId="4" fontId="78" fillId="0" borderId="13" xfId="0" applyNumberFormat="1" applyFont="1" applyBorder="1" applyAlignment="1">
      <alignment vertical="center" wrapText="1"/>
    </xf>
    <xf numFmtId="4" fontId="78" fillId="0" borderId="0" xfId="0" applyNumberFormat="1" applyFont="1" applyFill="1" applyAlignment="1">
      <alignment horizontal="justify" vertical="center"/>
    </xf>
    <xf numFmtId="0" fontId="80" fillId="0" borderId="0" xfId="0" applyFont="1" applyFill="1" applyAlignment="1">
      <alignment/>
    </xf>
    <xf numFmtId="0" fontId="74" fillId="0" borderId="0" xfId="0" applyFont="1" applyFill="1" applyAlignment="1">
      <alignment horizontal="justify" vertical="center"/>
    </xf>
    <xf numFmtId="0" fontId="78" fillId="0" borderId="13" xfId="0" applyFont="1" applyFill="1" applyBorder="1" applyAlignment="1">
      <alignment horizontal="left" vertical="center" wrapText="1" indent="1"/>
    </xf>
    <xf numFmtId="0" fontId="77" fillId="0" borderId="13" xfId="0" applyFont="1" applyFill="1" applyBorder="1" applyAlignment="1">
      <alignment horizontal="left" vertical="center" wrapText="1" indent="1"/>
    </xf>
    <xf numFmtId="4" fontId="78" fillId="0" borderId="0" xfId="0" applyNumberFormat="1" applyFont="1" applyFill="1" applyAlignment="1">
      <alignment/>
    </xf>
    <xf numFmtId="0" fontId="78" fillId="0" borderId="0" xfId="0" applyFont="1" applyFill="1" applyAlignment="1">
      <alignment vertical="center" wrapText="1"/>
    </xf>
    <xf numFmtId="4" fontId="21" fillId="36" borderId="13" xfId="0" applyNumberFormat="1" applyFont="1" applyFill="1" applyBorder="1" applyAlignment="1">
      <alignment horizontal="center" vertical="center" wrapText="1"/>
    </xf>
    <xf numFmtId="4" fontId="78" fillId="0" borderId="13" xfId="0" applyNumberFormat="1" applyFont="1" applyFill="1" applyBorder="1" applyAlignment="1">
      <alignment vertical="center" wrapText="1"/>
    </xf>
    <xf numFmtId="4" fontId="78" fillId="0" borderId="13" xfId="0" applyNumberFormat="1" applyFont="1" applyFill="1" applyBorder="1" applyAlignment="1">
      <alignment horizontal="center" vertical="center" wrapText="1"/>
    </xf>
    <xf numFmtId="0" fontId="78" fillId="0" borderId="13" xfId="0" applyFont="1" applyFill="1" applyBorder="1" applyAlignment="1">
      <alignment horizontal="right" vertical="center" wrapText="1"/>
    </xf>
    <xf numFmtId="4" fontId="83" fillId="0" borderId="0" xfId="0" applyNumberFormat="1" applyFont="1" applyFill="1" applyAlignment="1">
      <alignment/>
    </xf>
    <xf numFmtId="0" fontId="78" fillId="0" borderId="0" xfId="0" applyFont="1" applyFill="1" applyAlignment="1">
      <alignment horizontal="left" vertical="center" wrapText="1"/>
    </xf>
    <xf numFmtId="0" fontId="77" fillId="0" borderId="0" xfId="0" applyFont="1" applyFill="1" applyAlignment="1">
      <alignment horizontal="left" vertical="center" wrapText="1"/>
    </xf>
    <xf numFmtId="4" fontId="78" fillId="0" borderId="13" xfId="0" applyNumberFormat="1" applyFont="1" applyFill="1" applyBorder="1" applyAlignment="1">
      <alignment horizontal="right" vertical="center" wrapText="1"/>
    </xf>
    <xf numFmtId="0" fontId="78" fillId="0" borderId="13" xfId="0" applyNumberFormat="1" applyFont="1" applyFill="1" applyBorder="1" applyAlignment="1">
      <alignment horizontal="left" vertical="center" wrapText="1" indent="2"/>
    </xf>
    <xf numFmtId="4" fontId="78" fillId="0" borderId="0" xfId="0" applyNumberFormat="1" applyFont="1" applyFill="1" applyBorder="1" applyAlignment="1">
      <alignment vertical="center" wrapText="1"/>
    </xf>
    <xf numFmtId="0" fontId="77" fillId="0" borderId="0" xfId="0" applyFont="1" applyFill="1" applyBorder="1" applyAlignment="1">
      <alignment vertical="center" wrapText="1"/>
    </xf>
    <xf numFmtId="0" fontId="78" fillId="0" borderId="0" xfId="0" applyFont="1" applyFill="1" applyBorder="1" applyAlignment="1">
      <alignment horizontal="center" vertical="center" wrapText="1"/>
    </xf>
    <xf numFmtId="0" fontId="80" fillId="0" borderId="0" xfId="0" applyFont="1" applyFill="1" applyBorder="1" applyAlignment="1">
      <alignment/>
    </xf>
    <xf numFmtId="0" fontId="78" fillId="0" borderId="0" xfId="0" applyFont="1" applyFill="1" applyAlignment="1">
      <alignment horizontal="center" vertical="center"/>
    </xf>
    <xf numFmtId="10" fontId="78" fillId="0" borderId="13" xfId="0" applyNumberFormat="1" applyFont="1" applyFill="1" applyBorder="1" applyAlignment="1">
      <alignment horizontal="center" vertical="center" wrapText="1"/>
    </xf>
    <xf numFmtId="14" fontId="78" fillId="0" borderId="13" xfId="0" applyNumberFormat="1" applyFont="1" applyFill="1" applyBorder="1" applyAlignment="1">
      <alignment horizontal="left" vertical="center" wrapText="1" indent="2"/>
    </xf>
    <xf numFmtId="0" fontId="77" fillId="0" borderId="22" xfId="0" applyFont="1" applyBorder="1" applyAlignment="1">
      <alignment vertical="center" wrapText="1"/>
    </xf>
    <xf numFmtId="4" fontId="80" fillId="0" borderId="0" xfId="0" applyNumberFormat="1" applyFont="1" applyFill="1" applyAlignment="1">
      <alignment/>
    </xf>
    <xf numFmtId="0" fontId="78" fillId="0" borderId="13" xfId="0" applyFont="1" applyBorder="1" applyAlignment="1">
      <alignment horizontal="left" vertical="center" wrapText="1"/>
    </xf>
    <xf numFmtId="0" fontId="78" fillId="0" borderId="13" xfId="0" applyFont="1" applyBorder="1" applyAlignment="1">
      <alignment horizontal="right" vertical="center" wrapText="1"/>
    </xf>
    <xf numFmtId="9" fontId="78" fillId="0" borderId="13" xfId="0" applyNumberFormat="1" applyFont="1" applyFill="1" applyBorder="1" applyAlignment="1">
      <alignment horizontal="center" vertical="center" wrapText="1"/>
    </xf>
    <xf numFmtId="4" fontId="78" fillId="36" borderId="13" xfId="0" applyNumberFormat="1" applyFont="1" applyFill="1" applyBorder="1" applyAlignment="1">
      <alignment horizontal="right" vertical="center" wrapText="1"/>
    </xf>
    <xf numFmtId="4" fontId="78" fillId="0" borderId="23" xfId="0" applyNumberFormat="1" applyFont="1" applyFill="1" applyBorder="1" applyAlignment="1">
      <alignment horizontal="right" vertical="center" wrapText="1"/>
    </xf>
    <xf numFmtId="182" fontId="78" fillId="36" borderId="13" xfId="0" applyNumberFormat="1" applyFont="1" applyFill="1" applyBorder="1" applyAlignment="1">
      <alignment horizontal="right" vertical="center" wrapText="1"/>
    </xf>
    <xf numFmtId="0" fontId="21" fillId="36" borderId="13" xfId="0" applyFont="1" applyFill="1" applyBorder="1" applyAlignment="1">
      <alignment vertical="center" wrapText="1"/>
    </xf>
    <xf numFmtId="0" fontId="77" fillId="0" borderId="24" xfId="0" applyFont="1" applyFill="1" applyBorder="1" applyAlignment="1">
      <alignment vertical="center" wrapText="1"/>
    </xf>
    <xf numFmtId="0" fontId="78" fillId="0" borderId="24" xfId="0" applyFont="1" applyFill="1" applyBorder="1" applyAlignment="1">
      <alignment horizontal="center" vertical="center" wrapText="1"/>
    </xf>
    <xf numFmtId="4" fontId="78" fillId="0" borderId="24" xfId="0" applyNumberFormat="1" applyFont="1" applyFill="1" applyBorder="1" applyAlignment="1">
      <alignment vertical="center" wrapText="1"/>
    </xf>
    <xf numFmtId="2" fontId="78" fillId="0" borderId="13" xfId="0" applyNumberFormat="1" applyFont="1" applyFill="1" applyBorder="1" applyAlignment="1">
      <alignment vertical="center" wrapText="1"/>
    </xf>
    <xf numFmtId="0" fontId="21" fillId="36" borderId="13" xfId="0" applyFont="1" applyFill="1" applyBorder="1" applyAlignment="1">
      <alignment horizontal="right" vertical="center" wrapText="1"/>
    </xf>
    <xf numFmtId="2" fontId="78" fillId="0" borderId="13" xfId="0" applyNumberFormat="1" applyFont="1" applyFill="1" applyBorder="1" applyAlignment="1">
      <alignment horizontal="right" vertical="center" wrapText="1"/>
    </xf>
    <xf numFmtId="0" fontId="21" fillId="36" borderId="13" xfId="0" applyFont="1" applyFill="1" applyBorder="1" applyAlignment="1">
      <alignment horizontal="center" vertical="center" wrapText="1"/>
    </xf>
    <xf numFmtId="0" fontId="21" fillId="0" borderId="13" xfId="0" applyFont="1" applyFill="1" applyBorder="1" applyAlignment="1">
      <alignment horizontal="center" vertical="center" wrapText="1"/>
    </xf>
    <xf numFmtId="2" fontId="78" fillId="0" borderId="13" xfId="0" applyNumberFormat="1" applyFont="1" applyFill="1" applyBorder="1" applyAlignment="1">
      <alignment horizontal="center" vertical="center" wrapText="1"/>
    </xf>
    <xf numFmtId="4" fontId="78" fillId="0" borderId="0" xfId="0" applyNumberFormat="1" applyFont="1" applyFill="1" applyAlignment="1">
      <alignment horizontal="left"/>
    </xf>
    <xf numFmtId="0" fontId="74" fillId="0" borderId="0" xfId="0" applyFont="1" applyFill="1" applyAlignment="1">
      <alignment vertical="center"/>
    </xf>
    <xf numFmtId="0" fontId="78" fillId="0" borderId="13" xfId="0" applyFont="1" applyFill="1" applyBorder="1" applyAlignment="1">
      <alignment horizontal="left" vertical="center" wrapText="1" indent="2"/>
    </xf>
    <xf numFmtId="0" fontId="78" fillId="0" borderId="13" xfId="0" applyNumberFormat="1" applyFont="1" applyFill="1" applyBorder="1" applyAlignment="1">
      <alignment horizontal="center" vertical="center" wrapText="1"/>
    </xf>
    <xf numFmtId="0" fontId="84" fillId="0" borderId="0" xfId="0" applyFont="1" applyFill="1" applyAlignment="1">
      <alignment/>
    </xf>
    <xf numFmtId="4" fontId="85" fillId="0" borderId="0" xfId="0" applyNumberFormat="1" applyFont="1" applyFill="1" applyAlignment="1">
      <alignment horizontal="justify" vertical="center"/>
    </xf>
    <xf numFmtId="0" fontId="81" fillId="0" borderId="0" xfId="0" applyFont="1" applyFill="1" applyAlignment="1">
      <alignment/>
    </xf>
    <xf numFmtId="0" fontId="77" fillId="0" borderId="13" xfId="0" applyFont="1" applyFill="1" applyBorder="1" applyAlignment="1">
      <alignment horizontal="center" vertical="center" wrapText="1"/>
    </xf>
    <xf numFmtId="0" fontId="3" fillId="0" borderId="13" xfId="0" applyFont="1" applyFill="1" applyBorder="1" applyAlignment="1">
      <alignment/>
    </xf>
    <xf numFmtId="0" fontId="3" fillId="0" borderId="13" xfId="0" applyFont="1" applyFill="1" applyBorder="1" applyAlignment="1">
      <alignment horizontal="right" vertical="center"/>
    </xf>
    <xf numFmtId="0" fontId="3" fillId="0" borderId="20" xfId="0" applyFont="1" applyFill="1" applyBorder="1" applyAlignment="1">
      <alignment horizontal="right" vertical="center"/>
    </xf>
    <xf numFmtId="49" fontId="3" fillId="0" borderId="13" xfId="0" applyNumberFormat="1" applyFont="1" applyFill="1" applyBorder="1" applyAlignment="1">
      <alignment horizontal="right" vertical="center"/>
    </xf>
    <xf numFmtId="0" fontId="77" fillId="0" borderId="13" xfId="0" applyFont="1" applyFill="1" applyBorder="1" applyAlignment="1">
      <alignment horizontal="center" vertical="center" wrapText="1"/>
    </xf>
    <xf numFmtId="0" fontId="77" fillId="0" borderId="0" xfId="0" applyFont="1" applyFill="1" applyAlignment="1">
      <alignment horizontal="center" vertical="center"/>
    </xf>
    <xf numFmtId="0" fontId="77" fillId="0" borderId="0" xfId="0" applyFont="1" applyFill="1" applyAlignment="1">
      <alignment horizontal="center" vertical="center"/>
    </xf>
    <xf numFmtId="0" fontId="77" fillId="0" borderId="13" xfId="0" applyFont="1" applyFill="1" applyBorder="1" applyAlignment="1">
      <alignment horizontal="center" vertical="center" wrapText="1"/>
    </xf>
    <xf numFmtId="0" fontId="80" fillId="0" borderId="13" xfId="0" applyFont="1" applyBorder="1" applyAlignment="1">
      <alignment/>
    </xf>
    <xf numFmtId="0" fontId="74" fillId="36" borderId="25" xfId="0" applyFont="1" applyFill="1" applyBorder="1" applyAlignment="1">
      <alignment horizontal="center"/>
    </xf>
    <xf numFmtId="0" fontId="74" fillId="36" borderId="26" xfId="0" applyFont="1" applyFill="1" applyBorder="1" applyAlignment="1">
      <alignment/>
    </xf>
    <xf numFmtId="0" fontId="3" fillId="36" borderId="14" xfId="0" applyFont="1" applyFill="1" applyBorder="1" applyAlignment="1">
      <alignment wrapText="1"/>
    </xf>
    <xf numFmtId="0" fontId="74" fillId="0" borderId="13" xfId="0" applyFont="1" applyFill="1" applyBorder="1" applyAlignment="1">
      <alignment/>
    </xf>
    <xf numFmtId="0" fontId="78" fillId="0" borderId="13" xfId="0" applyFont="1" applyFill="1" applyBorder="1" applyAlignment="1">
      <alignment horizontal="center" vertical="center" wrapText="1"/>
    </xf>
    <xf numFmtId="4" fontId="86" fillId="0" borderId="0" xfId="0" applyNumberFormat="1" applyFont="1" applyFill="1" applyAlignment="1">
      <alignment/>
    </xf>
    <xf numFmtId="0" fontId="83" fillId="0" borderId="0" xfId="0" applyFont="1" applyFill="1" applyAlignment="1">
      <alignment/>
    </xf>
    <xf numFmtId="0" fontId="77" fillId="0" borderId="13" xfId="0" applyFont="1" applyFill="1" applyBorder="1" applyAlignment="1">
      <alignment horizontal="center" vertical="center" wrapText="1"/>
    </xf>
    <xf numFmtId="0" fontId="77" fillId="0" borderId="13" xfId="0" applyFont="1" applyFill="1" applyBorder="1" applyAlignment="1">
      <alignment horizontal="center" vertical="center" wrapText="1"/>
    </xf>
    <xf numFmtId="0" fontId="77" fillId="0" borderId="0" xfId="0" applyFont="1" applyFill="1" applyAlignment="1">
      <alignment horizontal="center" vertical="center"/>
    </xf>
    <xf numFmtId="0" fontId="77" fillId="0" borderId="21" xfId="0" applyFont="1" applyFill="1" applyBorder="1" applyAlignment="1">
      <alignment horizontal="center" vertical="center" wrapText="1"/>
    </xf>
    <xf numFmtId="0" fontId="82" fillId="36" borderId="0" xfId="0" applyFont="1" applyFill="1" applyAlignment="1">
      <alignment vertical="top"/>
    </xf>
    <xf numFmtId="0" fontId="82" fillId="36" borderId="0" xfId="0" applyFont="1" applyFill="1" applyAlignment="1">
      <alignment horizontal="left"/>
    </xf>
    <xf numFmtId="0" fontId="82" fillId="36" borderId="0" xfId="0" applyFont="1" applyFill="1" applyAlignment="1">
      <alignment/>
    </xf>
    <xf numFmtId="0" fontId="77" fillId="0" borderId="0" xfId="0" applyFont="1" applyFill="1" applyAlignment="1">
      <alignment horizontal="center" vertical="center"/>
    </xf>
    <xf numFmtId="0" fontId="77" fillId="0" borderId="13"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77" fillId="0" borderId="0" xfId="0" applyFont="1" applyFill="1" applyAlignment="1">
      <alignment horizontal="center" vertical="center"/>
    </xf>
    <xf numFmtId="0" fontId="77" fillId="0" borderId="13" xfId="0" applyFont="1" applyFill="1" applyBorder="1" applyAlignment="1">
      <alignment horizontal="center" vertical="center" wrapText="1"/>
    </xf>
    <xf numFmtId="0" fontId="77" fillId="0" borderId="13" xfId="0" applyFont="1" applyFill="1" applyBorder="1" applyAlignment="1">
      <alignment horizontal="center" vertical="center" wrapText="1"/>
    </xf>
    <xf numFmtId="0" fontId="77" fillId="0" borderId="0" xfId="0" applyFont="1" applyFill="1" applyAlignment="1">
      <alignment horizontal="center" vertical="center"/>
    </xf>
    <xf numFmtId="0" fontId="77" fillId="0" borderId="0" xfId="0" applyFont="1" applyFill="1" applyAlignment="1">
      <alignment horizontal="center" vertical="center"/>
    </xf>
    <xf numFmtId="0" fontId="77" fillId="0" borderId="13"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77" fillId="0" borderId="13" xfId="0" applyFont="1" applyFill="1" applyBorder="1" applyAlignment="1">
      <alignment horizontal="center" vertical="center" wrapText="1"/>
    </xf>
    <xf numFmtId="0" fontId="77" fillId="0" borderId="0" xfId="0" applyFont="1" applyFill="1" applyAlignment="1">
      <alignment horizontal="center" vertical="center"/>
    </xf>
    <xf numFmtId="0" fontId="77" fillId="0" borderId="21" xfId="0" applyFont="1" applyFill="1" applyBorder="1" applyAlignment="1">
      <alignment horizontal="center" vertical="center" wrapText="1"/>
    </xf>
    <xf numFmtId="0" fontId="80" fillId="0" borderId="13" xfId="0" applyFont="1" applyFill="1" applyBorder="1" applyAlignment="1">
      <alignment horizontal="center" vertical="center" wrapText="1"/>
    </xf>
    <xf numFmtId="0" fontId="80" fillId="0" borderId="13" xfId="0" applyFont="1" applyFill="1" applyBorder="1" applyAlignment="1">
      <alignment horizontal="left" vertical="center" wrapText="1" indent="2"/>
    </xf>
    <xf numFmtId="4" fontId="80" fillId="0" borderId="13" xfId="0" applyNumberFormat="1" applyFont="1" applyFill="1" applyBorder="1" applyAlignment="1">
      <alignment horizontal="center" vertical="center" wrapText="1"/>
    </xf>
    <xf numFmtId="0" fontId="77" fillId="0" borderId="13" xfId="0" applyFont="1" applyFill="1" applyBorder="1" applyAlignment="1">
      <alignment horizontal="center" vertical="center" wrapText="1"/>
    </xf>
    <xf numFmtId="0" fontId="78" fillId="0" borderId="13" xfId="0" applyFont="1" applyFill="1" applyBorder="1" applyAlignment="1">
      <alignment horizontal="center" vertical="center" wrapText="1"/>
    </xf>
    <xf numFmtId="0" fontId="78" fillId="0" borderId="24" xfId="0" applyFont="1" applyFill="1" applyBorder="1" applyAlignment="1">
      <alignment horizontal="center" vertical="center" wrapText="1"/>
    </xf>
    <xf numFmtId="0" fontId="82" fillId="36" borderId="0" xfId="0" applyFont="1" applyFill="1" applyBorder="1" applyAlignment="1">
      <alignment vertical="center" wrapText="1"/>
    </xf>
    <xf numFmtId="0" fontId="78" fillId="36" borderId="13" xfId="0" applyFont="1" applyFill="1" applyBorder="1" applyAlignment="1">
      <alignment horizontal="right" vertical="center" wrapText="1"/>
    </xf>
    <xf numFmtId="0" fontId="78" fillId="0" borderId="23" xfId="0" applyFont="1" applyBorder="1" applyAlignment="1">
      <alignment vertical="center" wrapText="1"/>
    </xf>
    <xf numFmtId="4" fontId="78" fillId="0" borderId="23" xfId="0" applyNumberFormat="1" applyFont="1" applyBorder="1" applyAlignment="1">
      <alignment vertical="center" wrapText="1"/>
    </xf>
    <xf numFmtId="0" fontId="78" fillId="36" borderId="13" xfId="0" applyFont="1" applyFill="1" applyBorder="1" applyAlignment="1">
      <alignment vertical="center" wrapText="1"/>
    </xf>
    <xf numFmtId="2" fontId="78" fillId="0" borderId="13" xfId="0" applyNumberFormat="1" applyFont="1" applyBorder="1" applyAlignment="1">
      <alignment vertical="center" wrapText="1"/>
    </xf>
    <xf numFmtId="4" fontId="87" fillId="0" borderId="0" xfId="0" applyNumberFormat="1" applyFont="1" applyAlignment="1">
      <alignment/>
    </xf>
    <xf numFmtId="4" fontId="3" fillId="0" borderId="13" xfId="0" applyNumberFormat="1" applyFont="1" applyBorder="1" applyAlignment="1">
      <alignment horizontal="center" vertical="center" wrapText="1"/>
    </xf>
    <xf numFmtId="0" fontId="77" fillId="0" borderId="13" xfId="0" applyFont="1" applyFill="1" applyBorder="1" applyAlignment="1">
      <alignment horizontal="center" vertical="center" wrapText="1"/>
    </xf>
    <xf numFmtId="4" fontId="21" fillId="0" borderId="13" xfId="0" applyNumberFormat="1" applyFont="1" applyFill="1" applyBorder="1" applyAlignment="1">
      <alignment horizontal="right" vertical="center" wrapText="1"/>
    </xf>
    <xf numFmtId="0" fontId="77" fillId="0" borderId="0" xfId="0" applyFont="1" applyFill="1" applyAlignment="1">
      <alignment horizontal="center" vertical="center"/>
    </xf>
    <xf numFmtId="0" fontId="77" fillId="0" borderId="13" xfId="0" applyFont="1" applyFill="1" applyBorder="1" applyAlignment="1">
      <alignment horizontal="center" vertical="center" wrapText="1"/>
    </xf>
    <xf numFmtId="4" fontId="3" fillId="0" borderId="13" xfId="0" applyNumberFormat="1" applyFont="1" applyBorder="1" applyAlignment="1">
      <alignment vertical="center" wrapText="1"/>
    </xf>
    <xf numFmtId="0" fontId="77" fillId="0" borderId="13" xfId="0" applyFont="1" applyFill="1" applyBorder="1" applyAlignment="1">
      <alignment horizontal="center" vertical="center" wrapText="1"/>
    </xf>
    <xf numFmtId="0" fontId="77" fillId="0" borderId="13" xfId="0" applyFont="1" applyFill="1" applyBorder="1" applyAlignment="1">
      <alignment horizontal="center" vertical="center" wrapText="1"/>
    </xf>
    <xf numFmtId="0" fontId="77" fillId="0" borderId="0" xfId="0" applyFont="1" applyFill="1" applyAlignment="1">
      <alignment horizontal="center" vertical="center"/>
    </xf>
    <xf numFmtId="0" fontId="77" fillId="0" borderId="13" xfId="0" applyFont="1" applyFill="1" applyBorder="1" applyAlignment="1">
      <alignment horizontal="center" vertical="center" wrapText="1"/>
    </xf>
    <xf numFmtId="0" fontId="77" fillId="0" borderId="0" xfId="0" applyFont="1" applyFill="1" applyAlignment="1">
      <alignment horizontal="center" vertical="center"/>
    </xf>
    <xf numFmtId="0" fontId="77" fillId="0" borderId="13" xfId="0" applyFont="1" applyFill="1" applyBorder="1" applyAlignment="1">
      <alignment horizontal="center" vertical="center" wrapText="1"/>
    </xf>
    <xf numFmtId="0" fontId="77" fillId="0" borderId="21" xfId="0" applyFont="1" applyFill="1" applyBorder="1" applyAlignment="1">
      <alignment horizontal="center" vertical="center" wrapText="1"/>
    </xf>
    <xf numFmtId="0" fontId="0" fillId="0" borderId="0" xfId="0" applyFill="1" applyAlignment="1">
      <alignment/>
    </xf>
    <xf numFmtId="0" fontId="77" fillId="0" borderId="13" xfId="0" applyFont="1" applyFill="1" applyBorder="1" applyAlignment="1">
      <alignment horizontal="center" vertical="center" wrapText="1"/>
    </xf>
    <xf numFmtId="0" fontId="88" fillId="0" borderId="13" xfId="0" applyFont="1" applyBorder="1" applyAlignment="1">
      <alignment horizontal="center"/>
    </xf>
    <xf numFmtId="0" fontId="77" fillId="0" borderId="13" xfId="0" applyFont="1" applyFill="1" applyBorder="1" applyAlignment="1">
      <alignment horizontal="center" vertical="center" wrapText="1"/>
    </xf>
    <xf numFmtId="0" fontId="77" fillId="0" borderId="0" xfId="0" applyFont="1" applyFill="1" applyAlignment="1">
      <alignment horizontal="center" vertical="center"/>
    </xf>
    <xf numFmtId="0" fontId="77" fillId="0" borderId="20" xfId="0" applyFont="1" applyFill="1" applyBorder="1" applyAlignment="1">
      <alignment horizontal="center" vertical="center" wrapText="1"/>
    </xf>
    <xf numFmtId="0" fontId="77" fillId="0" borderId="0" xfId="0" applyFont="1" applyFill="1" applyAlignment="1">
      <alignment horizontal="center" vertical="center"/>
    </xf>
    <xf numFmtId="0" fontId="77" fillId="0" borderId="13" xfId="0" applyFont="1" applyFill="1" applyBorder="1" applyAlignment="1">
      <alignment horizontal="center" vertical="center" wrapText="1"/>
    </xf>
    <xf numFmtId="0" fontId="77" fillId="0" borderId="21" xfId="0" applyFont="1" applyFill="1" applyBorder="1" applyAlignment="1">
      <alignment horizontal="center" vertical="center" wrapText="1"/>
    </xf>
    <xf numFmtId="4" fontId="18" fillId="36" borderId="13" xfId="0" applyNumberFormat="1" applyFont="1" applyFill="1" applyBorder="1" applyAlignment="1">
      <alignment horizontal="center" vertical="center" wrapText="1"/>
    </xf>
    <xf numFmtId="0" fontId="80" fillId="0" borderId="13" xfId="0" applyNumberFormat="1" applyFont="1" applyFill="1" applyBorder="1" applyAlignment="1">
      <alignment horizontal="center" vertical="center" wrapText="1"/>
    </xf>
    <xf numFmtId="0" fontId="80" fillId="0" borderId="13" xfId="0" applyFont="1" applyFill="1" applyBorder="1" applyAlignment="1">
      <alignment horizontal="right" vertical="center" wrapText="1"/>
    </xf>
    <xf numFmtId="4" fontId="80" fillId="0" borderId="13" xfId="0" applyNumberFormat="1" applyFont="1" applyFill="1" applyBorder="1" applyAlignment="1">
      <alignment horizontal="right" vertical="center" wrapText="1"/>
    </xf>
    <xf numFmtId="0" fontId="78" fillId="0" borderId="13" xfId="0" applyFont="1" applyFill="1" applyBorder="1" applyAlignment="1">
      <alignment horizontal="center" vertical="center" wrapText="1"/>
    </xf>
    <xf numFmtId="4" fontId="74" fillId="0" borderId="13" xfId="0" applyNumberFormat="1" applyFont="1" applyFill="1" applyBorder="1" applyAlignment="1">
      <alignment horizontal="center" vertical="center" wrapText="1"/>
    </xf>
    <xf numFmtId="0" fontId="80" fillId="0" borderId="13" xfId="0" applyFont="1" applyFill="1" applyBorder="1" applyAlignment="1">
      <alignment vertical="center" wrapText="1"/>
    </xf>
    <xf numFmtId="0" fontId="80" fillId="0" borderId="13" xfId="0" applyNumberFormat="1" applyFont="1" applyFill="1" applyBorder="1" applyAlignment="1">
      <alignment horizontal="left" vertical="center" wrapText="1" indent="2"/>
    </xf>
    <xf numFmtId="0" fontId="77" fillId="0" borderId="0" xfId="0" applyFont="1" applyFill="1" applyAlignment="1">
      <alignment horizontal="center" vertical="center"/>
    </xf>
    <xf numFmtId="0" fontId="77" fillId="0" borderId="13" xfId="0" applyFont="1" applyFill="1" applyBorder="1" applyAlignment="1">
      <alignment horizontal="center" vertical="center" wrapText="1"/>
    </xf>
    <xf numFmtId="0" fontId="77" fillId="0" borderId="21" xfId="0" applyFont="1" applyFill="1" applyBorder="1" applyAlignment="1">
      <alignment horizontal="center" vertical="center" wrapText="1"/>
    </xf>
    <xf numFmtId="0" fontId="74" fillId="0" borderId="0" xfId="0" applyFont="1" applyFill="1" applyAlignment="1">
      <alignment horizontal="center" wrapText="1"/>
    </xf>
    <xf numFmtId="0" fontId="74" fillId="0" borderId="0" xfId="0" applyFont="1" applyFill="1" applyAlignment="1">
      <alignment horizontal="left" wrapText="1"/>
    </xf>
    <xf numFmtId="0" fontId="4" fillId="0" borderId="0" xfId="0" applyFont="1" applyFill="1" applyBorder="1" applyAlignment="1">
      <alignment horizontal="center" vertical="center" wrapText="1"/>
    </xf>
    <xf numFmtId="0" fontId="74" fillId="0" borderId="0" xfId="0" applyFont="1" applyBorder="1" applyAlignment="1">
      <alignment horizontal="left" vertical="center" wrapText="1"/>
    </xf>
    <xf numFmtId="0" fontId="74" fillId="0" borderId="0" xfId="0" applyFont="1" applyBorder="1" applyAlignment="1">
      <alignment horizontal="right" vertical="center"/>
    </xf>
    <xf numFmtId="0" fontId="74" fillId="0" borderId="0" xfId="0" applyFont="1" applyFill="1" applyBorder="1" applyAlignment="1">
      <alignment horizontal="center" vertical="center" wrapText="1"/>
    </xf>
    <xf numFmtId="0" fontId="74" fillId="0" borderId="14"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74" fillId="0" borderId="0" xfId="0" applyFont="1" applyFill="1" applyBorder="1" applyAlignment="1">
      <alignment horizontal="left" vertical="center" wrapText="1"/>
    </xf>
    <xf numFmtId="0" fontId="75" fillId="0" borderId="0" xfId="0" applyFont="1" applyFill="1" applyAlignment="1">
      <alignment horizontal="center" shrinkToFit="1"/>
    </xf>
    <xf numFmtId="0" fontId="77" fillId="0" borderId="0" xfId="0" applyFont="1" applyAlignment="1">
      <alignment horizontal="right" wrapText="1"/>
    </xf>
    <xf numFmtId="0" fontId="3" fillId="36" borderId="14" xfId="0" applyFont="1" applyFill="1" applyBorder="1" applyAlignment="1">
      <alignment horizontal="left" wrapText="1"/>
    </xf>
    <xf numFmtId="0" fontId="74" fillId="0" borderId="0" xfId="0" applyFont="1" applyFill="1" applyBorder="1" applyAlignment="1">
      <alignment horizontal="right" vertical="top" wrapText="1"/>
    </xf>
    <xf numFmtId="0" fontId="74" fillId="0" borderId="0" xfId="0" applyFont="1" applyFill="1" applyAlignment="1">
      <alignment horizontal="right"/>
    </xf>
    <xf numFmtId="0" fontId="74" fillId="36" borderId="0" xfId="0" applyFont="1" applyFill="1" applyAlignment="1">
      <alignment horizontal="right"/>
    </xf>
    <xf numFmtId="0" fontId="21" fillId="0" borderId="0" xfId="0" applyFont="1" applyFill="1" applyBorder="1" applyAlignment="1">
      <alignment horizontal="left" vertical="center" wrapText="1"/>
    </xf>
    <xf numFmtId="0" fontId="77" fillId="0" borderId="13" xfId="0" applyFont="1" applyFill="1" applyBorder="1" applyAlignment="1">
      <alignment horizontal="center" vertical="center" wrapText="1"/>
    </xf>
    <xf numFmtId="0" fontId="78" fillId="0" borderId="0" xfId="0" applyFont="1" applyFill="1" applyBorder="1" applyAlignment="1">
      <alignment vertical="center" wrapText="1"/>
    </xf>
    <xf numFmtId="0" fontId="0" fillId="0" borderId="0" xfId="0" applyFont="1" applyFill="1" applyAlignment="1">
      <alignment/>
    </xf>
    <xf numFmtId="0" fontId="3" fillId="0" borderId="14" xfId="0" applyFont="1" applyFill="1" applyBorder="1" applyAlignment="1">
      <alignment horizontal="center"/>
    </xf>
    <xf numFmtId="0" fontId="20" fillId="0" borderId="15" xfId="0" applyFont="1" applyFill="1" applyBorder="1" applyAlignment="1">
      <alignment horizontal="center" vertical="center" wrapText="1"/>
    </xf>
    <xf numFmtId="0" fontId="18" fillId="0" borderId="14" xfId="0" applyFont="1" applyFill="1" applyBorder="1" applyAlignment="1">
      <alignment horizontal="center" vertical="center"/>
    </xf>
    <xf numFmtId="0" fontId="77" fillId="0" borderId="0" xfId="0" applyFont="1" applyFill="1" applyAlignment="1">
      <alignment horizontal="center" vertical="center" wrapText="1"/>
    </xf>
    <xf numFmtId="0" fontId="77" fillId="0" borderId="0" xfId="0" applyFont="1" applyFill="1" applyAlignment="1">
      <alignment horizontal="center" vertical="center"/>
    </xf>
    <xf numFmtId="0" fontId="77" fillId="0" borderId="14" xfId="0" applyFont="1" applyFill="1" applyBorder="1" applyAlignment="1">
      <alignment horizontal="center" vertical="center"/>
    </xf>
    <xf numFmtId="0" fontId="18" fillId="0" borderId="13" xfId="0" applyFont="1" applyFill="1" applyBorder="1" applyAlignment="1">
      <alignment horizontal="center" vertical="center" wrapText="1"/>
    </xf>
    <xf numFmtId="0" fontId="3" fillId="0" borderId="0" xfId="0" applyFont="1" applyFill="1" applyAlignment="1">
      <alignment horizontal="center" wrapText="1"/>
    </xf>
    <xf numFmtId="0" fontId="3" fillId="0" borderId="0" xfId="0" applyFont="1" applyFill="1" applyAlignment="1">
      <alignment horizontal="center"/>
    </xf>
    <xf numFmtId="0" fontId="3" fillId="0" borderId="20"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0" xfId="0" applyFont="1" applyAlignment="1">
      <alignment horizontal="center"/>
    </xf>
    <xf numFmtId="0" fontId="3" fillId="0" borderId="0" xfId="0" applyFont="1" applyFill="1" applyAlignment="1">
      <alignment horizontal="left" vertical="center" wrapText="1"/>
    </xf>
    <xf numFmtId="0" fontId="3" fillId="0" borderId="0" xfId="0" applyFont="1" applyFill="1" applyAlignment="1">
      <alignment wrapText="1"/>
    </xf>
    <xf numFmtId="0" fontId="74" fillId="0" borderId="20" xfId="0" applyFont="1" applyFill="1" applyBorder="1" applyAlignment="1">
      <alignment horizontal="center" vertical="center"/>
    </xf>
    <xf numFmtId="0" fontId="74" fillId="0" borderId="28" xfId="0" applyFont="1" applyFill="1" applyBorder="1" applyAlignment="1">
      <alignment horizontal="center" vertical="center"/>
    </xf>
    <xf numFmtId="0" fontId="74" fillId="0" borderId="24" xfId="0" applyFont="1" applyFill="1" applyBorder="1" applyAlignment="1">
      <alignment horizontal="center" vertical="center"/>
    </xf>
    <xf numFmtId="0" fontId="3" fillId="0" borderId="0" xfId="0" applyFont="1" applyBorder="1" applyAlignment="1">
      <alignment horizontal="left" vertical="center" wrapText="1"/>
    </xf>
    <xf numFmtId="0" fontId="89" fillId="0" borderId="0" xfId="0" applyFont="1" applyAlignment="1">
      <alignment horizontal="center" wrapText="1"/>
    </xf>
    <xf numFmtId="0" fontId="75" fillId="0" borderId="0" xfId="0" applyFont="1" applyAlignment="1">
      <alignment horizontal="center" wrapText="1"/>
    </xf>
    <xf numFmtId="0" fontId="75" fillId="0" borderId="14" xfId="0" applyFont="1" applyBorder="1" applyAlignment="1">
      <alignment horizontal="center" vertical="center" wrapText="1"/>
    </xf>
    <xf numFmtId="0" fontId="74" fillId="0" borderId="15" xfId="0" applyFont="1" applyBorder="1" applyAlignment="1">
      <alignment horizontal="center" wrapText="1"/>
    </xf>
    <xf numFmtId="0" fontId="74" fillId="0" borderId="15" xfId="0" applyFont="1" applyBorder="1" applyAlignment="1">
      <alignment horizontal="center" vertical="top" wrapText="1"/>
    </xf>
    <xf numFmtId="0" fontId="89" fillId="0" borderId="14" xfId="0" applyFont="1" applyBorder="1" applyAlignment="1">
      <alignment horizontal="center"/>
    </xf>
    <xf numFmtId="0" fontId="4" fillId="0" borderId="0" xfId="0" applyFont="1" applyAlignment="1">
      <alignment horizontal="center" vertical="center"/>
    </xf>
    <xf numFmtId="0" fontId="89" fillId="0" borderId="14" xfId="0" applyFont="1" applyBorder="1" applyAlignment="1">
      <alignment horizontal="center" wrapText="1"/>
    </xf>
    <xf numFmtId="0" fontId="77" fillId="0" borderId="13" xfId="0" applyFont="1" applyBorder="1" applyAlignment="1">
      <alignment horizontal="center" vertical="center" wrapText="1"/>
    </xf>
    <xf numFmtId="0" fontId="78" fillId="0" borderId="0" xfId="0" applyFont="1" applyBorder="1" applyAlignment="1">
      <alignment horizontal="left"/>
    </xf>
    <xf numFmtId="0" fontId="78" fillId="0" borderId="0" xfId="0" applyFont="1" applyBorder="1" applyAlignment="1">
      <alignment horizontal="left" vertical="center"/>
    </xf>
    <xf numFmtId="0" fontId="77" fillId="0" borderId="0" xfId="0" applyFont="1" applyAlignment="1">
      <alignment horizontal="left" vertical="center" wrapText="1"/>
    </xf>
    <xf numFmtId="0" fontId="77" fillId="0" borderId="0" xfId="0" applyFont="1" applyAlignment="1">
      <alignment horizontal="center" vertical="center"/>
    </xf>
    <xf numFmtId="0" fontId="78" fillId="0" borderId="0" xfId="0" applyFont="1" applyAlignment="1">
      <alignment horizontal="center" vertical="center"/>
    </xf>
    <xf numFmtId="0" fontId="18" fillId="36" borderId="20" xfId="0" applyFont="1" applyFill="1" applyBorder="1" applyAlignment="1">
      <alignment horizontal="center" vertical="center" wrapText="1"/>
    </xf>
    <xf numFmtId="0" fontId="18" fillId="36" borderId="24" xfId="0" applyFont="1" applyFill="1" applyBorder="1" applyAlignment="1">
      <alignment horizontal="center" vertical="center" wrapText="1"/>
    </xf>
    <xf numFmtId="0" fontId="90" fillId="0" borderId="0" xfId="0" applyFont="1" applyFill="1" applyAlignment="1">
      <alignment horizontal="center" vertical="center" wrapText="1"/>
    </xf>
    <xf numFmtId="0" fontId="90" fillId="0" borderId="0" xfId="0" applyFont="1" applyFill="1" applyAlignment="1">
      <alignment horizontal="center" vertical="center"/>
    </xf>
    <xf numFmtId="0" fontId="18" fillId="0" borderId="20"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77" fillId="0" borderId="21" xfId="0" applyFont="1" applyFill="1" applyBorder="1" applyAlignment="1">
      <alignment horizontal="center" vertical="center" wrapText="1"/>
    </xf>
    <xf numFmtId="0" fontId="77" fillId="0" borderId="27" xfId="0" applyFont="1" applyFill="1" applyBorder="1" applyAlignment="1">
      <alignment horizontal="center" vertical="center" wrapText="1"/>
    </xf>
    <xf numFmtId="0" fontId="77" fillId="0" borderId="23" xfId="0" applyFont="1" applyFill="1" applyBorder="1" applyAlignment="1">
      <alignment horizontal="center" vertical="center" wrapText="1"/>
    </xf>
    <xf numFmtId="0" fontId="18" fillId="36" borderId="20" xfId="0" applyFont="1" applyFill="1" applyBorder="1" applyAlignment="1">
      <alignment horizontal="center" vertical="top" wrapText="1"/>
    </xf>
    <xf numFmtId="0" fontId="18" fillId="36" borderId="24" xfId="0" applyFont="1" applyFill="1" applyBorder="1" applyAlignment="1">
      <alignment horizontal="center" vertical="top" wrapText="1"/>
    </xf>
    <xf numFmtId="0" fontId="78" fillId="0" borderId="13" xfId="0" applyFont="1" applyFill="1" applyBorder="1" applyAlignment="1">
      <alignment horizontal="center" vertical="center" wrapText="1"/>
    </xf>
    <xf numFmtId="0" fontId="78" fillId="0" borderId="20" xfId="0" applyFont="1" applyFill="1" applyBorder="1" applyAlignment="1">
      <alignment horizontal="center" vertical="center" wrapText="1"/>
    </xf>
    <xf numFmtId="0" fontId="78" fillId="0" borderId="28" xfId="0" applyFont="1" applyFill="1" applyBorder="1" applyAlignment="1">
      <alignment horizontal="center" vertical="center" wrapText="1"/>
    </xf>
    <xf numFmtId="0" fontId="3" fillId="0" borderId="15" xfId="0" applyFont="1" applyFill="1" applyBorder="1" applyAlignment="1">
      <alignment horizontal="center"/>
    </xf>
    <xf numFmtId="0" fontId="78" fillId="0" borderId="0" xfId="0" applyFont="1" applyFill="1" applyAlignment="1">
      <alignment horizontal="center" vertical="center"/>
    </xf>
    <xf numFmtId="0" fontId="78" fillId="0" borderId="24" xfId="0" applyFont="1" applyFill="1" applyBorder="1" applyAlignment="1">
      <alignment horizontal="center" vertical="center" wrapText="1"/>
    </xf>
    <xf numFmtId="0" fontId="78" fillId="0" borderId="0" xfId="0" applyFont="1" applyFill="1" applyBorder="1" applyAlignment="1">
      <alignment horizontal="center" vertical="center"/>
    </xf>
    <xf numFmtId="0" fontId="80" fillId="0" borderId="20" xfId="75" applyFont="1" applyFill="1" applyBorder="1" applyAlignment="1">
      <alignment horizontal="center" vertical="center" wrapText="1"/>
    </xf>
    <xf numFmtId="0" fontId="80" fillId="0" borderId="28" xfId="75" applyFont="1" applyFill="1" applyBorder="1" applyAlignment="1">
      <alignment horizontal="center" vertical="center" wrapText="1"/>
    </xf>
    <xf numFmtId="0" fontId="78" fillId="0" borderId="0" xfId="0" applyFont="1" applyFill="1" applyAlignment="1">
      <alignment horizontal="left" vertical="center" wrapText="1"/>
    </xf>
    <xf numFmtId="0" fontId="78" fillId="0" borderId="21" xfId="0" applyFont="1" applyFill="1" applyBorder="1" applyAlignment="1">
      <alignment horizontal="center" vertical="center" wrapText="1"/>
    </xf>
    <xf numFmtId="0" fontId="78" fillId="0" borderId="27" xfId="0" applyFont="1" applyFill="1" applyBorder="1" applyAlignment="1">
      <alignment horizontal="center" vertical="center" wrapText="1"/>
    </xf>
    <xf numFmtId="0" fontId="78" fillId="0" borderId="23" xfId="0" applyFont="1" applyFill="1" applyBorder="1" applyAlignment="1">
      <alignment horizontal="center" vertical="center" wrapText="1"/>
    </xf>
    <xf numFmtId="0" fontId="78" fillId="0" borderId="0" xfId="0" applyFont="1" applyFill="1" applyAlignment="1">
      <alignment horizontal="center" vertical="center" wrapText="1"/>
    </xf>
    <xf numFmtId="0" fontId="78" fillId="0" borderId="29" xfId="0" applyFont="1" applyFill="1" applyBorder="1" applyAlignment="1">
      <alignment horizontal="center" vertical="center" wrapText="1"/>
    </xf>
    <xf numFmtId="0" fontId="78" fillId="0" borderId="15" xfId="0" applyFont="1" applyFill="1" applyBorder="1" applyAlignment="1">
      <alignment horizontal="center" vertical="center" wrapText="1"/>
    </xf>
    <xf numFmtId="0" fontId="78" fillId="0" borderId="30" xfId="0" applyFont="1" applyFill="1" applyBorder="1" applyAlignment="1">
      <alignment horizontal="center" vertical="center" wrapText="1"/>
    </xf>
    <xf numFmtId="0" fontId="78" fillId="0" borderId="31" xfId="0" applyFont="1" applyFill="1" applyBorder="1" applyAlignment="1">
      <alignment horizontal="center" vertical="center" wrapText="1"/>
    </xf>
    <xf numFmtId="0" fontId="78" fillId="0" borderId="32" xfId="0" applyFont="1" applyFill="1" applyBorder="1" applyAlignment="1">
      <alignment horizontal="center" vertical="center" wrapText="1"/>
    </xf>
    <xf numFmtId="0" fontId="21" fillId="0" borderId="0" xfId="0" applyFont="1" applyFill="1" applyAlignment="1">
      <alignment horizontal="left" vertical="center"/>
    </xf>
    <xf numFmtId="0" fontId="77" fillId="0" borderId="0" xfId="0" applyFont="1" applyFill="1" applyAlignment="1">
      <alignment horizontal="left" wrapText="1"/>
    </xf>
    <xf numFmtId="0" fontId="78" fillId="0" borderId="14" xfId="0" applyFont="1" applyFill="1" applyBorder="1" applyAlignment="1">
      <alignment horizontal="center" vertical="center" wrapText="1"/>
    </xf>
    <xf numFmtId="0" fontId="77" fillId="0" borderId="20" xfId="0" applyFont="1" applyFill="1" applyBorder="1" applyAlignment="1">
      <alignment horizontal="center" vertical="center" wrapText="1"/>
    </xf>
    <xf numFmtId="0" fontId="77" fillId="0" borderId="28" xfId="0" applyFont="1" applyFill="1" applyBorder="1" applyAlignment="1">
      <alignment horizontal="center" vertical="center" wrapText="1"/>
    </xf>
    <xf numFmtId="0" fontId="79" fillId="0" borderId="0" xfId="0" applyFont="1" applyAlignment="1">
      <alignment horizontal="center"/>
    </xf>
    <xf numFmtId="0" fontId="75" fillId="0" borderId="0" xfId="0" applyFont="1" applyAlignment="1">
      <alignment horizontal="right" vertical="center"/>
    </xf>
    <xf numFmtId="0" fontId="74" fillId="0" borderId="33" xfId="0" applyFont="1" applyBorder="1" applyAlignment="1">
      <alignment horizontal="left" vertical="center" wrapText="1"/>
    </xf>
  </cellXfs>
  <cellStyles count="8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0" xfId="33"/>
    <cellStyle name="S1" xfId="34"/>
    <cellStyle name="S10" xfId="35"/>
    <cellStyle name="S11" xfId="36"/>
    <cellStyle name="S12" xfId="37"/>
    <cellStyle name="S13" xfId="38"/>
    <cellStyle name="S14" xfId="39"/>
    <cellStyle name="S15" xfId="40"/>
    <cellStyle name="S18" xfId="41"/>
    <cellStyle name="S19" xfId="42"/>
    <cellStyle name="S2" xfId="43"/>
    <cellStyle name="S20" xfId="44"/>
    <cellStyle name="S21" xfId="45"/>
    <cellStyle name="S22" xfId="46"/>
    <cellStyle name="S23" xfId="47"/>
    <cellStyle name="S24" xfId="48"/>
    <cellStyle name="S26" xfId="49"/>
    <cellStyle name="S27" xfId="50"/>
    <cellStyle name="S28" xfId="51"/>
    <cellStyle name="S29" xfId="52"/>
    <cellStyle name="S3" xfId="53"/>
    <cellStyle name="S30" xfId="54"/>
    <cellStyle name="S31" xfId="55"/>
    <cellStyle name="S32" xfId="56"/>
    <cellStyle name="S35" xfId="57"/>
    <cellStyle name="S4" xfId="58"/>
    <cellStyle name="S40" xfId="59"/>
    <cellStyle name="S41" xfId="60"/>
    <cellStyle name="S42" xfId="61"/>
    <cellStyle name="S5" xfId="62"/>
    <cellStyle name="S6" xfId="63"/>
    <cellStyle name="S7" xfId="64"/>
    <cellStyle name="S9" xfId="65"/>
    <cellStyle name="Акцент1" xfId="66"/>
    <cellStyle name="Акцент2" xfId="67"/>
    <cellStyle name="Акцент3" xfId="68"/>
    <cellStyle name="Акцент4" xfId="69"/>
    <cellStyle name="Акцент5" xfId="70"/>
    <cellStyle name="Акцент6" xfId="71"/>
    <cellStyle name="Ввод " xfId="72"/>
    <cellStyle name="Вывод" xfId="73"/>
    <cellStyle name="Вычисление" xfId="74"/>
    <cellStyle name="Hyperlink" xfId="75"/>
    <cellStyle name="Currency" xfId="76"/>
    <cellStyle name="Currency [0]" xfId="77"/>
    <cellStyle name="Заголовок 1" xfId="78"/>
    <cellStyle name="Заголовок 2" xfId="79"/>
    <cellStyle name="Заголовок 3" xfId="80"/>
    <cellStyle name="Заголовок 4" xfId="81"/>
    <cellStyle name="Итог" xfId="82"/>
    <cellStyle name="Контрольная ячейка" xfId="83"/>
    <cellStyle name="Название" xfId="84"/>
    <cellStyle name="Нейтральный" xfId="85"/>
    <cellStyle name="Обычный 2" xfId="86"/>
    <cellStyle name="Обычный 2 2" xfId="87"/>
    <cellStyle name="Обычный 2 2 2" xfId="88"/>
    <cellStyle name="Обычный 3" xfId="89"/>
    <cellStyle name="Обычный 3 2 3 2" xfId="90"/>
    <cellStyle name="Обычный 3 2 3 2 2" xfId="91"/>
    <cellStyle name="Обычный 4" xfId="92"/>
    <cellStyle name="Followed Hyperlink" xfId="93"/>
    <cellStyle name="Плохой" xfId="94"/>
    <cellStyle name="Пояснение" xfId="95"/>
    <cellStyle name="Примечание" xfId="96"/>
    <cellStyle name="Percent" xfId="97"/>
    <cellStyle name="Связанная ячейка" xfId="98"/>
    <cellStyle name="Текст предупреждения" xfId="99"/>
    <cellStyle name="Comma" xfId="100"/>
    <cellStyle name="Comma [0]" xfId="101"/>
    <cellStyle name="Хороший" xfId="10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5;&#1060;&#1061;&#1044;%20%20&#1089;&#1086;&#1096;%2081_120,118,88,116,115,101,2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55;&#1060;&#1061;&#1044;%20%20&#1089;&#1086;&#1096;%2075,1197,1236,&#1091;&#1095;,125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Заголовочная часть"/>
      <sheetName val="Раздел 1"/>
      <sheetName val="Раздел 2 "/>
      <sheetName val="222Б(2017)"/>
      <sheetName val="222Б(2018)"/>
      <sheetName val="222Б(2019)"/>
      <sheetName val="222П.У.(2017)"/>
      <sheetName val="222П.У.(2018)"/>
      <sheetName val="222П.У.(2019)"/>
      <sheetName val="Сведения о пост. ср-х"/>
      <sheetName val="Иные цели"/>
      <sheetName val="Расчеты обоснования "/>
      <sheetName val="5"/>
    </sheetNames>
    <sheetDataSet>
      <sheetData sheetId="1">
        <row r="41">
          <cell r="AB41">
            <v>7001946.029999999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Заголовочная часть"/>
      <sheetName val="Раздел 1"/>
      <sheetName val="Раздел 2 "/>
      <sheetName val="222Б(2017)"/>
      <sheetName val="222Б(2018)"/>
      <sheetName val="222Б(2019)"/>
      <sheetName val="222П.У.(2017)"/>
      <sheetName val="222П.У.(2018)"/>
      <sheetName val="222П.У.(2019)"/>
      <sheetName val="Сведения о пост. ср-х"/>
      <sheetName val="Иные цели"/>
      <sheetName val="Расчеты обоснования "/>
      <sheetName val="5"/>
    </sheetNames>
    <sheetDataSet>
      <sheetData sheetId="1">
        <row r="55">
          <cell r="A55" t="str">
            <v>иные налоги (включаемые в состав расходов) в бюджеты бюджетной системы Российской Федерации, а также государственная пошлина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consultantplus://offline/ref=E18600745EBC44CEAA2F53ED324B832AC74B0D5A8902FAEA1C3BAF104A096F89C1921D6213BE05F8E9B4EE62O6VAP" TargetMode="External" /><Relationship Id="rId2" Type="http://schemas.openxmlformats.org/officeDocument/2006/relationships/hyperlink" Target="consultantplus://offline/ref=E18600745EBC44CEAA2F53ED324B832AC74B0D5A8902FAEA1C3BAF104A096F89C1921D6213BE05F8E9B4EE62O6VAP" TargetMode="Externa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H34"/>
  <sheetViews>
    <sheetView tabSelected="1" view="pageBreakPreview" zoomScale="70" zoomScaleNormal="70" zoomScaleSheetLayoutView="70" zoomScalePageLayoutView="0" workbookViewId="0" topLeftCell="A1">
      <selection activeCell="B17" sqref="B17:D19"/>
    </sheetView>
  </sheetViews>
  <sheetFormatPr defaultColWidth="9.140625" defaultRowHeight="15"/>
  <cols>
    <col min="1" max="1" width="58.00390625" style="1" customWidth="1"/>
    <col min="2" max="2" width="6.7109375" style="1" customWidth="1"/>
    <col min="3" max="4" width="36.28125" style="1" customWidth="1"/>
    <col min="5" max="5" width="27.00390625" style="1" customWidth="1"/>
    <col min="6" max="6" width="28.00390625" style="1" customWidth="1"/>
    <col min="7" max="16384" width="9.140625" style="1" customWidth="1"/>
  </cols>
  <sheetData>
    <row r="1" spans="4:7" ht="19.5" customHeight="1">
      <c r="D1" s="299"/>
      <c r="E1" s="299"/>
      <c r="F1" s="299"/>
      <c r="G1" s="299"/>
    </row>
    <row r="2" spans="4:7" ht="17.25" customHeight="1">
      <c r="D2" s="299"/>
      <c r="E2" s="299"/>
      <c r="F2" s="299"/>
      <c r="G2" s="299"/>
    </row>
    <row r="3" spans="4:7" ht="97.5" customHeight="1" hidden="1">
      <c r="D3" s="299"/>
      <c r="E3" s="299"/>
      <c r="F3" s="299"/>
      <c r="G3" s="299"/>
    </row>
    <row r="4" spans="1:6" ht="25.5" customHeight="1">
      <c r="A4" s="75"/>
      <c r="D4" s="303"/>
      <c r="E4" s="303"/>
      <c r="F4" s="303"/>
    </row>
    <row r="5" spans="1:6" ht="19.5" customHeight="1">
      <c r="A5" s="228" t="s">
        <v>476</v>
      </c>
      <c r="B5" s="12"/>
      <c r="C5" s="12"/>
      <c r="D5" s="289" t="s">
        <v>10</v>
      </c>
      <c r="E5" s="289"/>
      <c r="F5" s="289"/>
    </row>
    <row r="6" spans="1:6" ht="88.5" customHeight="1">
      <c r="A6" s="249" t="s">
        <v>477</v>
      </c>
      <c r="B6" s="12"/>
      <c r="C6" s="12" t="s">
        <v>7</v>
      </c>
      <c r="D6" s="25"/>
      <c r="E6" s="300" t="s">
        <v>518</v>
      </c>
      <c r="F6" s="300"/>
    </row>
    <row r="7" spans="1:6" ht="12.75" customHeight="1">
      <c r="A7" s="227" t="s">
        <v>478</v>
      </c>
      <c r="B7" s="12"/>
      <c r="C7" s="76"/>
      <c r="D7" s="301"/>
      <c r="E7" s="301"/>
      <c r="F7" s="301"/>
    </row>
    <row r="8" spans="1:7" ht="21.75" customHeight="1">
      <c r="A8" s="229" t="s">
        <v>479</v>
      </c>
      <c r="B8" s="12"/>
      <c r="C8" s="12"/>
      <c r="D8" s="77" t="s">
        <v>49</v>
      </c>
      <c r="E8" s="78" t="s">
        <v>45</v>
      </c>
      <c r="F8" s="218" t="s">
        <v>519</v>
      </c>
      <c r="G8" s="79"/>
    </row>
    <row r="9" spans="1:6" ht="18.75">
      <c r="A9" s="229" t="s">
        <v>480</v>
      </c>
      <c r="B9" s="12"/>
      <c r="C9" s="12"/>
      <c r="D9" s="76"/>
      <c r="E9" s="76" t="s">
        <v>50</v>
      </c>
      <c r="F9" s="76" t="s">
        <v>12</v>
      </c>
    </row>
    <row r="10" spans="1:6" ht="18.75">
      <c r="A10" s="229" t="s">
        <v>9</v>
      </c>
      <c r="B10" s="12"/>
      <c r="C10" s="12"/>
      <c r="D10" s="25"/>
      <c r="E10" s="25" t="s">
        <v>9</v>
      </c>
      <c r="F10" s="25"/>
    </row>
    <row r="11" spans="1:6" ht="18.75">
      <c r="A11" s="229" t="str">
        <f>B16</f>
        <v>от "06"  сентября    2023 г.</v>
      </c>
      <c r="B11" s="12"/>
      <c r="C11" s="12"/>
      <c r="D11" s="80"/>
      <c r="E11" s="12" t="str">
        <f>B16</f>
        <v>от "06"  сентября    2023 г.</v>
      </c>
      <c r="F11" s="25"/>
    </row>
    <row r="12" spans="1:6" ht="18.75" customHeight="1">
      <c r="A12" s="229"/>
      <c r="B12" s="12"/>
      <c r="C12" s="12"/>
      <c r="D12" s="81"/>
      <c r="E12" s="302"/>
      <c r="F12" s="302"/>
    </row>
    <row r="13" spans="1:6" ht="22.5" customHeight="1">
      <c r="A13" s="12"/>
      <c r="B13" s="298" t="s">
        <v>5</v>
      </c>
      <c r="C13" s="298"/>
      <c r="D13" s="298"/>
      <c r="E13" s="12"/>
      <c r="F13" s="12"/>
    </row>
    <row r="14" spans="1:6" ht="18.75" customHeight="1">
      <c r="A14" s="12"/>
      <c r="B14" s="298" t="s">
        <v>47</v>
      </c>
      <c r="C14" s="298"/>
      <c r="D14" s="298"/>
      <c r="E14" s="12"/>
      <c r="F14" s="12"/>
    </row>
    <row r="15" spans="1:6" ht="18" customHeight="1">
      <c r="A15" s="12"/>
      <c r="B15" s="298" t="s">
        <v>481</v>
      </c>
      <c r="C15" s="298"/>
      <c r="D15" s="298"/>
      <c r="E15" s="12"/>
      <c r="F15" s="12"/>
    </row>
    <row r="16" spans="1:6" ht="23.25" customHeight="1">
      <c r="A16" s="12"/>
      <c r="B16" s="289" t="s">
        <v>588</v>
      </c>
      <c r="C16" s="289"/>
      <c r="D16" s="289"/>
      <c r="E16" s="12"/>
      <c r="F16" s="82"/>
    </row>
    <row r="17" spans="1:6" ht="21" customHeight="1">
      <c r="A17" s="297" t="s">
        <v>26</v>
      </c>
      <c r="B17" s="291" t="s">
        <v>515</v>
      </c>
      <c r="C17" s="291"/>
      <c r="D17" s="291"/>
      <c r="E17" s="12"/>
      <c r="F17" s="83" t="s">
        <v>297</v>
      </c>
    </row>
    <row r="18" spans="1:6" ht="18.75">
      <c r="A18" s="297"/>
      <c r="B18" s="291"/>
      <c r="C18" s="291"/>
      <c r="D18" s="291"/>
      <c r="E18" s="84" t="s">
        <v>0</v>
      </c>
      <c r="F18" s="83"/>
    </row>
    <row r="19" spans="1:6" ht="33" customHeight="1">
      <c r="A19" s="297"/>
      <c r="B19" s="291"/>
      <c r="C19" s="291"/>
      <c r="D19" s="291"/>
      <c r="E19" s="84" t="s">
        <v>48</v>
      </c>
      <c r="F19" s="219">
        <v>43626572</v>
      </c>
    </row>
    <row r="20" spans="1:8" ht="30.75" customHeight="1" thickBot="1">
      <c r="A20" s="12"/>
      <c r="B20" s="12"/>
      <c r="C20" s="12"/>
      <c r="D20" s="85"/>
      <c r="E20" s="84"/>
      <c r="F20" s="12"/>
      <c r="G20" s="292"/>
      <c r="H20" s="293"/>
    </row>
    <row r="21" spans="1:8" ht="31.5" customHeight="1" thickBot="1">
      <c r="A21" s="12" t="s">
        <v>4</v>
      </c>
      <c r="B21" s="12" t="s">
        <v>6</v>
      </c>
      <c r="C21" s="216">
        <v>2318021574</v>
      </c>
      <c r="D21" s="217" t="s">
        <v>516</v>
      </c>
      <c r="E21" s="86"/>
      <c r="F21" s="25"/>
      <c r="G21" s="292"/>
      <c r="H21" s="293"/>
    </row>
    <row r="22" spans="1:8" ht="45" customHeight="1">
      <c r="A22" s="12"/>
      <c r="B22" s="12"/>
      <c r="C22" s="12"/>
      <c r="D22" s="12"/>
      <c r="E22" s="84"/>
      <c r="F22" s="12"/>
      <c r="G22" s="292"/>
      <c r="H22" s="293"/>
    </row>
    <row r="23" spans="1:8" ht="23.25" customHeight="1">
      <c r="A23" s="25"/>
      <c r="B23" s="25"/>
      <c r="C23" s="87"/>
      <c r="D23" s="12"/>
      <c r="E23" s="84" t="s">
        <v>48</v>
      </c>
      <c r="F23" s="207">
        <v>1513233</v>
      </c>
      <c r="G23" s="292"/>
      <c r="H23" s="293"/>
    </row>
    <row r="24" spans="1:8" ht="18" customHeight="1">
      <c r="A24" s="290" t="s">
        <v>3</v>
      </c>
      <c r="B24" s="294" t="s">
        <v>264</v>
      </c>
      <c r="C24" s="294"/>
      <c r="D24" s="294"/>
      <c r="E24" s="84" t="s">
        <v>59</v>
      </c>
      <c r="F24" s="208">
        <v>2320052509</v>
      </c>
      <c r="G24" s="292"/>
      <c r="H24" s="293"/>
    </row>
    <row r="25" spans="1:6" ht="44.25" customHeight="1">
      <c r="A25" s="290"/>
      <c r="B25" s="295"/>
      <c r="C25" s="295"/>
      <c r="D25" s="295"/>
      <c r="E25" s="84" t="s">
        <v>60</v>
      </c>
      <c r="F25" s="208">
        <v>232001001</v>
      </c>
    </row>
    <row r="26" spans="1:6" ht="18.75">
      <c r="A26" s="12" t="s">
        <v>2</v>
      </c>
      <c r="B26" s="296" t="s">
        <v>517</v>
      </c>
      <c r="C26" s="296"/>
      <c r="D26" s="296"/>
      <c r="E26" s="84" t="s">
        <v>1</v>
      </c>
      <c r="F26" s="209">
        <v>383</v>
      </c>
    </row>
    <row r="27" spans="1:6" ht="37.5">
      <c r="A27" s="290" t="s">
        <v>27</v>
      </c>
      <c r="B27" s="290"/>
      <c r="C27" s="290"/>
      <c r="D27" s="290"/>
      <c r="E27" s="88" t="s">
        <v>61</v>
      </c>
      <c r="F27" s="210" t="s">
        <v>520</v>
      </c>
    </row>
    <row r="28" spans="1:6" ht="18.75">
      <c r="A28" s="12"/>
      <c r="B28" s="12"/>
      <c r="C28" s="12"/>
      <c r="D28" s="12"/>
      <c r="E28" s="84"/>
      <c r="F28" s="89"/>
    </row>
    <row r="29" spans="1:6" ht="18.75">
      <c r="A29" s="12"/>
      <c r="B29" s="12"/>
      <c r="C29" s="12"/>
      <c r="D29" s="12"/>
      <c r="E29" s="12"/>
      <c r="F29" s="12"/>
    </row>
    <row r="30" spans="1:6" ht="18.75">
      <c r="A30" s="12"/>
      <c r="B30" s="12"/>
      <c r="C30" s="12"/>
      <c r="D30" s="12"/>
      <c r="E30" s="12"/>
      <c r="F30" s="12"/>
    </row>
    <row r="31" spans="1:6" ht="18.75">
      <c r="A31" s="12"/>
      <c r="B31" s="12"/>
      <c r="C31" s="12"/>
      <c r="D31" s="12"/>
      <c r="E31" s="12"/>
      <c r="F31" s="12"/>
    </row>
    <row r="32" spans="1:6" ht="18.75">
      <c r="A32" s="12"/>
      <c r="B32" s="12"/>
      <c r="C32" s="12"/>
      <c r="D32" s="12"/>
      <c r="E32" s="12"/>
      <c r="F32" s="12"/>
    </row>
    <row r="33" spans="1:6" ht="18.75">
      <c r="A33" s="12"/>
      <c r="B33" s="12"/>
      <c r="C33" s="12"/>
      <c r="D33" s="12"/>
      <c r="E33" s="12"/>
      <c r="F33" s="12"/>
    </row>
    <row r="34" spans="1:6" ht="18.75">
      <c r="A34" s="12"/>
      <c r="B34" s="12"/>
      <c r="C34" s="12"/>
      <c r="D34" s="12"/>
      <c r="E34" s="12"/>
      <c r="F34" s="12"/>
    </row>
  </sheetData>
  <sheetProtection/>
  <mergeCells count="18">
    <mergeCell ref="B13:D13"/>
    <mergeCell ref="B14:D14"/>
    <mergeCell ref="B15:D15"/>
    <mergeCell ref="D1:G3"/>
    <mergeCell ref="D5:F5"/>
    <mergeCell ref="E6:F6"/>
    <mergeCell ref="D7:F7"/>
    <mergeCell ref="E12:F12"/>
    <mergeCell ref="D4:F4"/>
    <mergeCell ref="B16:D16"/>
    <mergeCell ref="A27:D27"/>
    <mergeCell ref="B17:D19"/>
    <mergeCell ref="G20:G24"/>
    <mergeCell ref="H20:H24"/>
    <mergeCell ref="A24:A25"/>
    <mergeCell ref="B24:D25"/>
    <mergeCell ref="B26:D26"/>
    <mergeCell ref="A17:A19"/>
  </mergeCells>
  <printOptions/>
  <pageMargins left="0.2362204724409449" right="0.2362204724409449" top="0.5118110236220472" bottom="0.7480314960629921" header="0.31496062992125984" footer="0.31496062992125984"/>
  <pageSetup fitToHeight="1" fitToWidth="1" horizontalDpi="600" verticalDpi="600" orientation="landscape" paperSize="9" scale="74" r:id="rId1"/>
  <rowBreaks count="1" manualBreakCount="1">
    <brk id="24" max="5" man="1"/>
  </rowBreaks>
</worksheet>
</file>

<file path=xl/worksheets/sheet10.xml><?xml version="1.0" encoding="utf-8"?>
<worksheet xmlns="http://schemas.openxmlformats.org/spreadsheetml/2006/main" xmlns:r="http://schemas.openxmlformats.org/officeDocument/2006/relationships">
  <sheetPr>
    <tabColor rgb="FF92D050"/>
  </sheetPr>
  <dimension ref="A1:D37"/>
  <sheetViews>
    <sheetView view="pageBreakPreview" zoomScale="70" zoomScaleNormal="70" zoomScaleSheetLayoutView="70" workbookViewId="0" topLeftCell="A2">
      <selection activeCell="C26" sqref="C26"/>
    </sheetView>
  </sheetViews>
  <sheetFormatPr defaultColWidth="9.140625" defaultRowHeight="15"/>
  <cols>
    <col min="1" max="1" width="37.8515625" style="1" customWidth="1"/>
    <col min="2" max="2" width="9.8515625" style="1" customWidth="1"/>
    <col min="3" max="3" width="73.57421875" style="1" customWidth="1"/>
    <col min="4" max="4" width="19.28125" style="1" customWidth="1"/>
    <col min="5" max="5" width="19.57421875" style="1" customWidth="1"/>
    <col min="6" max="6" width="18.140625" style="1" customWidth="1"/>
    <col min="7" max="7" width="18.421875" style="1" customWidth="1"/>
    <col min="8" max="8" width="17.8515625" style="1" customWidth="1"/>
    <col min="9" max="9" width="19.57421875" style="1" customWidth="1"/>
    <col min="10" max="11" width="16.8515625" style="1" customWidth="1"/>
    <col min="12" max="12" width="20.421875" style="1" customWidth="1"/>
    <col min="13" max="13" width="18.7109375" style="1" customWidth="1"/>
    <col min="14" max="14" width="15.8515625" style="1" customWidth="1"/>
    <col min="15" max="16384" width="9.140625" style="1" customWidth="1"/>
  </cols>
  <sheetData>
    <row r="1" spans="3:4" ht="78" customHeight="1" hidden="1">
      <c r="C1" s="143" t="s">
        <v>306</v>
      </c>
      <c r="D1" s="144"/>
    </row>
    <row r="4" spans="1:3" ht="18.75">
      <c r="A4" s="343" t="s">
        <v>307</v>
      </c>
      <c r="B4" s="343"/>
      <c r="C4" s="343"/>
    </row>
    <row r="5" spans="1:3" ht="18.75">
      <c r="A5" s="343" t="str">
        <f>'Заголовочная часть'!B16</f>
        <v>от "06"  сентября    2023 г.</v>
      </c>
      <c r="B5" s="343"/>
      <c r="C5" s="343"/>
    </row>
    <row r="6" spans="1:3" ht="18.75">
      <c r="A6" s="343" t="s">
        <v>308</v>
      </c>
      <c r="B6" s="343"/>
      <c r="C6" s="343"/>
    </row>
    <row r="7" spans="1:3" ht="12.75" customHeight="1">
      <c r="A7" s="145"/>
      <c r="B7" s="94"/>
      <c r="C7" s="94"/>
    </row>
    <row r="8" spans="1:3" ht="21.75" customHeight="1">
      <c r="A8" s="339" t="s">
        <v>8</v>
      </c>
      <c r="B8" s="339" t="s">
        <v>15</v>
      </c>
      <c r="C8" s="117" t="s">
        <v>309</v>
      </c>
    </row>
    <row r="9" spans="1:3" ht="18.75">
      <c r="A9" s="339"/>
      <c r="B9" s="339"/>
      <c r="C9" s="117" t="s">
        <v>310</v>
      </c>
    </row>
    <row r="10" spans="1:3" ht="18.75">
      <c r="A10" s="339"/>
      <c r="B10" s="339"/>
      <c r="C10" s="117" t="s">
        <v>311</v>
      </c>
    </row>
    <row r="11" spans="1:3" ht="18.75">
      <c r="A11" s="117">
        <v>1</v>
      </c>
      <c r="B11" s="117">
        <v>2</v>
      </c>
      <c r="C11" s="117">
        <v>3</v>
      </c>
    </row>
    <row r="12" spans="1:3" ht="18.75">
      <c r="A12" s="142" t="s">
        <v>312</v>
      </c>
      <c r="B12" s="117">
        <v>10</v>
      </c>
      <c r="C12" s="142">
        <v>741</v>
      </c>
    </row>
    <row r="13" spans="1:3" ht="18.75">
      <c r="A13" s="142" t="s">
        <v>313</v>
      </c>
      <c r="B13" s="117">
        <v>20</v>
      </c>
      <c r="C13" s="142"/>
    </row>
    <row r="14" spans="1:3" ht="18.75">
      <c r="A14" s="142" t="s">
        <v>314</v>
      </c>
      <c r="B14" s="117">
        <v>30</v>
      </c>
      <c r="C14" s="142"/>
    </row>
    <row r="15" spans="1:3" ht="18.75">
      <c r="A15" s="142"/>
      <c r="B15" s="142"/>
      <c r="C15" s="142"/>
    </row>
    <row r="16" spans="1:3" ht="18.75">
      <c r="A16" s="142" t="s">
        <v>315</v>
      </c>
      <c r="B16" s="117">
        <v>40</v>
      </c>
      <c r="C16" s="142">
        <v>741</v>
      </c>
    </row>
    <row r="17" spans="1:3" ht="18.75">
      <c r="A17" s="142"/>
      <c r="B17" s="142"/>
      <c r="C17" s="142"/>
    </row>
    <row r="18" spans="1:3" ht="18.75">
      <c r="A18" s="145"/>
      <c r="B18" s="94"/>
      <c r="C18" s="94"/>
    </row>
    <row r="19" spans="1:3" ht="18.75">
      <c r="A19" s="344" t="s">
        <v>316</v>
      </c>
      <c r="B19" s="344"/>
      <c r="C19" s="344"/>
    </row>
    <row r="20" spans="1:3" ht="10.5" customHeight="1">
      <c r="A20" s="145"/>
      <c r="B20" s="94"/>
      <c r="C20" s="94"/>
    </row>
    <row r="21" spans="1:3" ht="18.75">
      <c r="A21" s="339" t="s">
        <v>8</v>
      </c>
      <c r="B21" s="339" t="s">
        <v>15</v>
      </c>
      <c r="C21" s="117" t="s">
        <v>309</v>
      </c>
    </row>
    <row r="22" spans="1:3" ht="18.75">
      <c r="A22" s="339"/>
      <c r="B22" s="339"/>
      <c r="C22" s="117" t="s">
        <v>317</v>
      </c>
    </row>
    <row r="23" spans="1:3" ht="18.75">
      <c r="A23" s="117">
        <v>1</v>
      </c>
      <c r="B23" s="117">
        <v>2</v>
      </c>
      <c r="C23" s="117">
        <v>3</v>
      </c>
    </row>
    <row r="24" spans="1:3" ht="33.75" customHeight="1">
      <c r="A24" s="142" t="s">
        <v>318</v>
      </c>
      <c r="B24" s="117">
        <v>10</v>
      </c>
      <c r="C24" s="142"/>
    </row>
    <row r="25" spans="1:3" ht="80.25" customHeight="1">
      <c r="A25" s="142" t="s">
        <v>319</v>
      </c>
      <c r="B25" s="117">
        <v>20</v>
      </c>
      <c r="C25" s="142"/>
    </row>
    <row r="26" spans="1:3" ht="40.5" customHeight="1">
      <c r="A26" s="142" t="s">
        <v>320</v>
      </c>
      <c r="B26" s="117">
        <v>30</v>
      </c>
      <c r="C26" s="142">
        <v>11133.15</v>
      </c>
    </row>
    <row r="27" spans="1:3" ht="18.75">
      <c r="A27" s="145"/>
      <c r="B27" s="94"/>
      <c r="C27" s="94"/>
    </row>
    <row r="28" spans="1:3" ht="18.75">
      <c r="A28" s="146"/>
      <c r="B28" s="94"/>
      <c r="C28" s="94"/>
    </row>
    <row r="29" spans="1:3" ht="18.75">
      <c r="A29" s="49" t="s">
        <v>267</v>
      </c>
      <c r="B29" s="94"/>
      <c r="C29" s="146" t="s">
        <v>321</v>
      </c>
    </row>
    <row r="30" spans="1:3" ht="18.75">
      <c r="A30" s="146"/>
      <c r="B30" s="94"/>
      <c r="C30" s="147" t="s">
        <v>322</v>
      </c>
    </row>
    <row r="31" spans="1:3" ht="18.75">
      <c r="A31" s="146"/>
      <c r="B31" s="94"/>
      <c r="C31" s="146"/>
    </row>
    <row r="32" spans="1:3" ht="18.75">
      <c r="A32" s="146"/>
      <c r="B32" s="94"/>
      <c r="C32" s="94"/>
    </row>
    <row r="33" spans="1:3" s="53" customFormat="1" ht="31.5" customHeight="1">
      <c r="A33" s="340" t="s">
        <v>505</v>
      </c>
      <c r="B33" s="340"/>
      <c r="C33" s="340"/>
    </row>
    <row r="34" spans="1:3" s="53" customFormat="1" ht="28.5" customHeight="1">
      <c r="A34" s="341" t="s">
        <v>323</v>
      </c>
      <c r="B34" s="341"/>
      <c r="C34" s="341"/>
    </row>
    <row r="37" spans="1:3" ht="24.75" customHeight="1">
      <c r="A37" s="342" t="s">
        <v>324</v>
      </c>
      <c r="B37" s="342"/>
      <c r="C37" s="148" t="s">
        <v>198</v>
      </c>
    </row>
  </sheetData>
  <sheetProtection/>
  <mergeCells count="11">
    <mergeCell ref="A19:C19"/>
    <mergeCell ref="A21:A22"/>
    <mergeCell ref="B21:B22"/>
    <mergeCell ref="A33:C33"/>
    <mergeCell ref="A34:C34"/>
    <mergeCell ref="A37:B37"/>
    <mergeCell ref="A4:C4"/>
    <mergeCell ref="A5:C5"/>
    <mergeCell ref="A6:C6"/>
    <mergeCell ref="A8:A10"/>
    <mergeCell ref="B8:B10"/>
  </mergeCells>
  <printOptions/>
  <pageMargins left="0.5118110236220472" right="0.11811023622047245" top="0.35433070866141736" bottom="0.35433070866141736" header="0.31496062992125984" footer="0.31496062992125984"/>
  <pageSetup fitToHeight="0" horizontalDpi="600" verticalDpi="600" orientation="portrait" paperSize="9" scale="79" r:id="rId1"/>
</worksheet>
</file>

<file path=xl/worksheets/sheet11.xml><?xml version="1.0" encoding="utf-8"?>
<worksheet xmlns="http://schemas.openxmlformats.org/spreadsheetml/2006/main" xmlns:r="http://schemas.openxmlformats.org/officeDocument/2006/relationships">
  <sheetPr>
    <tabColor theme="5" tint="0.39998000860214233"/>
  </sheetPr>
  <dimension ref="A1:BJ100"/>
  <sheetViews>
    <sheetView view="pageBreakPreview" zoomScale="56" zoomScaleNormal="70" zoomScaleSheetLayoutView="56" workbookViewId="0" topLeftCell="Q1">
      <selection activeCell="AF41" sqref="AF41"/>
    </sheetView>
  </sheetViews>
  <sheetFormatPr defaultColWidth="9.140625" defaultRowHeight="15"/>
  <cols>
    <col min="1" max="1" width="83.28125" style="90" customWidth="1"/>
    <col min="2" max="2" width="9.140625" style="90" customWidth="1"/>
    <col min="3" max="3" width="15.421875" style="102" customWidth="1"/>
    <col min="4" max="5" width="16.57421875" style="90" customWidth="1"/>
    <col min="6" max="6" width="16.57421875" style="90" hidden="1" customWidth="1"/>
    <col min="7" max="7" width="16.57421875" style="90" customWidth="1"/>
    <col min="8" max="9" width="16.421875" style="90" customWidth="1"/>
    <col min="10" max="11" width="14.28125" style="90" customWidth="1"/>
    <col min="12" max="12" width="17.8515625" style="90" customWidth="1"/>
    <col min="13" max="13" width="15.57421875" style="90" customWidth="1"/>
    <col min="14" max="14" width="13.421875" style="90" customWidth="1"/>
    <col min="15" max="17" width="19.00390625" style="90" customWidth="1"/>
    <col min="18" max="18" width="15.57421875" style="90" customWidth="1"/>
    <col min="19" max="19" width="19.00390625" style="90" customWidth="1"/>
    <col min="20" max="21" width="16.421875" style="90" customWidth="1"/>
    <col min="22" max="22" width="15.140625" style="90" customWidth="1"/>
    <col min="23" max="23" width="13.140625" style="90" customWidth="1"/>
    <col min="24" max="24" width="15.7109375" style="90" customWidth="1"/>
    <col min="25" max="25" width="14.8515625" style="90" customWidth="1"/>
    <col min="26" max="26" width="13.57421875" style="90" customWidth="1"/>
    <col min="27" max="27" width="14.421875" style="90" customWidth="1"/>
    <col min="28" max="28" width="5.7109375" style="90" customWidth="1"/>
    <col min="29" max="29" width="14.8515625" style="90" customWidth="1"/>
    <col min="30" max="30" width="15.140625" style="90" customWidth="1"/>
    <col min="31" max="31" width="11.7109375" style="90" customWidth="1"/>
    <col min="32" max="32" width="15.28125" style="90" customWidth="1"/>
    <col min="33" max="34" width="8.7109375" style="90" customWidth="1"/>
    <col min="35" max="16384" width="9.140625" style="90" customWidth="1"/>
  </cols>
  <sheetData>
    <row r="1" spans="1:34" ht="26.25" customHeight="1">
      <c r="A1" s="347" t="s">
        <v>276</v>
      </c>
      <c r="B1" s="348"/>
      <c r="C1" s="348"/>
      <c r="D1" s="112"/>
      <c r="E1" s="112"/>
      <c r="F1" s="112"/>
      <c r="G1" s="273"/>
      <c r="H1" s="213"/>
      <c r="I1" s="112"/>
      <c r="J1" s="259"/>
      <c r="K1" s="212"/>
      <c r="L1" s="237"/>
      <c r="M1" s="212"/>
      <c r="N1" s="233"/>
      <c r="O1" s="286"/>
      <c r="P1" s="266"/>
      <c r="Q1" s="275"/>
      <c r="R1" s="112"/>
      <c r="S1" s="236"/>
      <c r="T1" s="225"/>
      <c r="U1" s="112"/>
      <c r="V1" s="241"/>
      <c r="W1" s="112"/>
      <c r="X1" s="112"/>
      <c r="Y1" s="112"/>
      <c r="Z1" s="112"/>
      <c r="AA1" s="264"/>
      <c r="AB1" s="112"/>
      <c r="AC1" s="112"/>
      <c r="AD1" s="241"/>
      <c r="AE1" s="230"/>
      <c r="AF1" s="112"/>
      <c r="AG1" s="112"/>
      <c r="AH1" s="112"/>
    </row>
    <row r="2" spans="1:34" ht="21" customHeight="1">
      <c r="A2" s="29"/>
      <c r="B2" s="29"/>
      <c r="C2" s="30"/>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row>
    <row r="3" spans="1:34" ht="51" customHeight="1">
      <c r="A3" s="305" t="s">
        <v>8</v>
      </c>
      <c r="B3" s="305" t="s">
        <v>15</v>
      </c>
      <c r="C3" s="305" t="s">
        <v>17</v>
      </c>
      <c r="D3" s="349" t="s">
        <v>275</v>
      </c>
      <c r="E3" s="92" t="s">
        <v>296</v>
      </c>
      <c r="F3" s="73" t="s">
        <v>273</v>
      </c>
      <c r="G3" s="274" t="s">
        <v>296</v>
      </c>
      <c r="H3" s="214" t="s">
        <v>506</v>
      </c>
      <c r="I3" s="214" t="s">
        <v>521</v>
      </c>
      <c r="J3" s="352" t="s">
        <v>511</v>
      </c>
      <c r="K3" s="354"/>
      <c r="L3" s="238"/>
      <c r="M3" s="31" t="s">
        <v>512</v>
      </c>
      <c r="N3" s="234" t="s">
        <v>536</v>
      </c>
      <c r="O3" s="288" t="s">
        <v>569</v>
      </c>
      <c r="P3" s="268" t="s">
        <v>569</v>
      </c>
      <c r="Q3" s="277" t="s">
        <v>569</v>
      </c>
      <c r="R3" s="31" t="s">
        <v>514</v>
      </c>
      <c r="S3" s="239"/>
      <c r="T3" s="226"/>
      <c r="U3" s="113"/>
      <c r="V3" s="242"/>
      <c r="W3" s="352" t="s">
        <v>296</v>
      </c>
      <c r="X3" s="353"/>
      <c r="Y3" s="353"/>
      <c r="Z3" s="353"/>
      <c r="AA3" s="353"/>
      <c r="AB3" s="354"/>
      <c r="AC3" s="352" t="s">
        <v>274</v>
      </c>
      <c r="AD3" s="353"/>
      <c r="AE3" s="353"/>
      <c r="AF3" s="353"/>
      <c r="AG3" s="353"/>
      <c r="AH3" s="354"/>
    </row>
    <row r="4" spans="1:34" ht="128.25" customHeight="1">
      <c r="A4" s="305"/>
      <c r="B4" s="305"/>
      <c r="C4" s="305"/>
      <c r="D4" s="350"/>
      <c r="E4" s="73"/>
      <c r="F4" s="73"/>
      <c r="G4" s="272" t="s">
        <v>576</v>
      </c>
      <c r="H4" s="355" t="s">
        <v>554</v>
      </c>
      <c r="I4" s="355" t="s">
        <v>522</v>
      </c>
      <c r="J4" s="31" t="s">
        <v>551</v>
      </c>
      <c r="K4" s="31" t="s">
        <v>549</v>
      </c>
      <c r="L4" s="31" t="s">
        <v>541</v>
      </c>
      <c r="M4" s="345" t="s">
        <v>589</v>
      </c>
      <c r="N4" s="31" t="s">
        <v>537</v>
      </c>
      <c r="O4" s="31" t="s">
        <v>570</v>
      </c>
      <c r="P4" s="31" t="s">
        <v>587</v>
      </c>
      <c r="Q4" s="31" t="s">
        <v>578</v>
      </c>
      <c r="R4" s="345" t="s">
        <v>513</v>
      </c>
      <c r="S4" s="31" t="s">
        <v>539</v>
      </c>
      <c r="T4" s="31" t="s">
        <v>508</v>
      </c>
      <c r="U4" s="31" t="s">
        <v>534</v>
      </c>
      <c r="V4" s="31" t="s">
        <v>548</v>
      </c>
      <c r="W4" s="31" t="s">
        <v>510</v>
      </c>
      <c r="X4" s="31" t="s">
        <v>568</v>
      </c>
      <c r="Y4" s="31" t="s">
        <v>558</v>
      </c>
      <c r="Z4" s="31" t="s">
        <v>563</v>
      </c>
      <c r="AA4" s="31" t="s">
        <v>566</v>
      </c>
      <c r="AB4" s="31"/>
      <c r="AC4" s="31" t="s">
        <v>531</v>
      </c>
      <c r="AD4" s="31" t="s">
        <v>548</v>
      </c>
      <c r="AE4" s="232" t="s">
        <v>535</v>
      </c>
      <c r="AF4" s="31" t="s">
        <v>591</v>
      </c>
      <c r="AG4" s="31" t="s">
        <v>271</v>
      </c>
      <c r="AH4" s="31" t="s">
        <v>271</v>
      </c>
    </row>
    <row r="5" spans="1:34" ht="105.75" customHeight="1">
      <c r="A5" s="73">
        <v>1</v>
      </c>
      <c r="B5" s="73">
        <v>2</v>
      </c>
      <c r="C5" s="73">
        <v>3</v>
      </c>
      <c r="D5" s="351"/>
      <c r="E5" s="73" t="s">
        <v>272</v>
      </c>
      <c r="F5" s="73" t="s">
        <v>273</v>
      </c>
      <c r="G5" s="272" t="s">
        <v>577</v>
      </c>
      <c r="H5" s="356"/>
      <c r="I5" s="356"/>
      <c r="J5" s="260" t="s">
        <v>552</v>
      </c>
      <c r="K5" s="257" t="s">
        <v>550</v>
      </c>
      <c r="L5" s="238" t="s">
        <v>542</v>
      </c>
      <c r="M5" s="346"/>
      <c r="N5" s="234" t="s">
        <v>538</v>
      </c>
      <c r="O5" s="287" t="s">
        <v>571</v>
      </c>
      <c r="P5" s="267" t="s">
        <v>571</v>
      </c>
      <c r="Q5" s="276" t="s">
        <v>579</v>
      </c>
      <c r="R5" s="346"/>
      <c r="S5" s="238" t="s">
        <v>540</v>
      </c>
      <c r="T5" s="224" t="s">
        <v>507</v>
      </c>
      <c r="U5" s="224" t="s">
        <v>533</v>
      </c>
      <c r="V5" s="240" t="s">
        <v>543</v>
      </c>
      <c r="W5" s="206" t="s">
        <v>509</v>
      </c>
      <c r="X5" s="246" t="s">
        <v>545</v>
      </c>
      <c r="Y5" s="262" t="s">
        <v>559</v>
      </c>
      <c r="Z5" s="263" t="s">
        <v>564</v>
      </c>
      <c r="AA5" s="265" t="s">
        <v>567</v>
      </c>
      <c r="AB5" s="73" t="s">
        <v>464</v>
      </c>
      <c r="AC5" s="223" t="s">
        <v>532</v>
      </c>
      <c r="AD5" s="240" t="s">
        <v>543</v>
      </c>
      <c r="AE5" s="231" t="s">
        <v>533</v>
      </c>
      <c r="AF5" s="270" t="s">
        <v>574</v>
      </c>
      <c r="AG5" s="73"/>
      <c r="AH5" s="73"/>
    </row>
    <row r="6" spans="1:34" ht="27" customHeight="1">
      <c r="A6" s="91" t="s">
        <v>245</v>
      </c>
      <c r="B6" s="32" t="s">
        <v>22</v>
      </c>
      <c r="C6" s="73" t="s">
        <v>203</v>
      </c>
      <c r="D6" s="40">
        <f>SUM(E6:AH6)</f>
        <v>5098.58</v>
      </c>
      <c r="E6" s="40"/>
      <c r="F6" s="40"/>
      <c r="G6" s="40"/>
      <c r="H6" s="40"/>
      <c r="I6" s="40"/>
      <c r="J6" s="40"/>
      <c r="K6" s="40">
        <v>107.65</v>
      </c>
      <c r="L6" s="40"/>
      <c r="M6" s="40"/>
      <c r="N6" s="40"/>
      <c r="O6" s="40"/>
      <c r="P6" s="40"/>
      <c r="Q6" s="40"/>
      <c r="R6" s="40">
        <v>148.6</v>
      </c>
      <c r="S6" s="40"/>
      <c r="T6" s="40">
        <v>2842.33</v>
      </c>
      <c r="U6" s="40"/>
      <c r="V6" s="40"/>
      <c r="W6" s="40">
        <v>2000</v>
      </c>
      <c r="X6" s="40"/>
      <c r="Y6" s="40"/>
      <c r="Z6" s="40"/>
      <c r="AA6" s="40"/>
      <c r="AB6" s="40"/>
      <c r="AC6" s="40"/>
      <c r="AD6" s="40"/>
      <c r="AE6" s="40"/>
      <c r="AF6" s="40"/>
      <c r="AG6" s="40"/>
      <c r="AH6" s="40"/>
    </row>
    <row r="7" spans="1:34" ht="36.75" customHeight="1" hidden="1">
      <c r="A7" s="28" t="s">
        <v>218</v>
      </c>
      <c r="B7" s="32" t="s">
        <v>64</v>
      </c>
      <c r="C7" s="73" t="s">
        <v>203</v>
      </c>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row>
    <row r="8" spans="1:34" ht="22.5" customHeight="1">
      <c r="A8" s="91" t="s">
        <v>246</v>
      </c>
      <c r="B8" s="32" t="s">
        <v>93</v>
      </c>
      <c r="C8" s="73" t="s">
        <v>203</v>
      </c>
      <c r="D8" s="40">
        <f>SUM(E8:AH8)</f>
        <v>1.3241674423625227E-10</v>
      </c>
      <c r="E8" s="40">
        <f aca="true" t="shared" si="0" ref="E8:AH8">E6+E10-E41-E90</f>
        <v>0</v>
      </c>
      <c r="F8" s="40">
        <f t="shared" si="0"/>
        <v>0</v>
      </c>
      <c r="G8" s="40">
        <f t="shared" si="0"/>
        <v>0</v>
      </c>
      <c r="H8" s="40">
        <f>H6+H10-H41-H90</f>
        <v>0</v>
      </c>
      <c r="I8" s="40">
        <f t="shared" si="0"/>
        <v>0</v>
      </c>
      <c r="J8" s="40">
        <f t="shared" si="0"/>
        <v>0</v>
      </c>
      <c r="K8" s="40">
        <f aca="true" t="shared" si="1" ref="K8:Q8">K6+K10-K41-K90</f>
        <v>-3.694822225952521E-13</v>
      </c>
      <c r="L8" s="40">
        <f t="shared" si="1"/>
        <v>0</v>
      </c>
      <c r="M8" s="40">
        <f t="shared" si="1"/>
        <v>0</v>
      </c>
      <c r="N8" s="40">
        <f t="shared" si="1"/>
        <v>0</v>
      </c>
      <c r="O8" s="40">
        <f>O6+O10-O41-O90</f>
        <v>0</v>
      </c>
      <c r="P8" s="40">
        <f t="shared" si="1"/>
        <v>0</v>
      </c>
      <c r="Q8" s="40">
        <f t="shared" si="1"/>
        <v>0</v>
      </c>
      <c r="R8" s="40">
        <f t="shared" si="0"/>
        <v>0</v>
      </c>
      <c r="S8" s="40">
        <f t="shared" si="0"/>
        <v>0</v>
      </c>
      <c r="T8" s="40">
        <f>T6+T10-T41-T90</f>
        <v>7.457856554538012E-11</v>
      </c>
      <c r="U8" s="40">
        <f t="shared" si="0"/>
        <v>5.820766091346741E-11</v>
      </c>
      <c r="V8" s="40">
        <f t="shared" si="0"/>
        <v>0</v>
      </c>
      <c r="W8" s="40">
        <f t="shared" si="0"/>
        <v>0</v>
      </c>
      <c r="X8" s="40">
        <f t="shared" si="0"/>
        <v>0</v>
      </c>
      <c r="Y8" s="40">
        <f t="shared" si="0"/>
        <v>0</v>
      </c>
      <c r="Z8" s="40">
        <f t="shared" si="0"/>
        <v>0</v>
      </c>
      <c r="AA8" s="40">
        <f t="shared" si="0"/>
        <v>0</v>
      </c>
      <c r="AB8" s="40">
        <f t="shared" si="0"/>
        <v>0</v>
      </c>
      <c r="AC8" s="40">
        <f t="shared" si="0"/>
        <v>0</v>
      </c>
      <c r="AD8" s="40">
        <f>AD6+AD10-AD41-AD90</f>
        <v>0</v>
      </c>
      <c r="AE8" s="40">
        <f t="shared" si="0"/>
        <v>0</v>
      </c>
      <c r="AF8" s="40">
        <f t="shared" si="0"/>
        <v>0</v>
      </c>
      <c r="AG8" s="40">
        <f t="shared" si="0"/>
        <v>0</v>
      </c>
      <c r="AH8" s="40">
        <f t="shared" si="0"/>
        <v>0</v>
      </c>
    </row>
    <row r="9" spans="1:34" ht="34.5" customHeight="1" hidden="1">
      <c r="A9" s="28" t="s">
        <v>218</v>
      </c>
      <c r="B9" s="32" t="s">
        <v>94</v>
      </c>
      <c r="C9" s="73" t="s">
        <v>203</v>
      </c>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row>
    <row r="10" spans="1:34" ht="27" customHeight="1">
      <c r="A10" s="65" t="s">
        <v>200</v>
      </c>
      <c r="B10" s="73">
        <v>1000</v>
      </c>
      <c r="C10" s="73" t="s">
        <v>203</v>
      </c>
      <c r="D10" s="40">
        <f aca="true" t="shared" si="2" ref="D10:AH10">D11+D17+D22+D25+D29+D34+D37</f>
        <v>8439610.8</v>
      </c>
      <c r="E10" s="40">
        <f t="shared" si="2"/>
        <v>1572480</v>
      </c>
      <c r="F10" s="40">
        <f t="shared" si="2"/>
        <v>0</v>
      </c>
      <c r="G10" s="278">
        <f t="shared" si="2"/>
        <v>246240</v>
      </c>
      <c r="H10" s="40">
        <f>H11+H17+H22+H25+H29+H34+H37</f>
        <v>426000</v>
      </c>
      <c r="I10" s="40">
        <f t="shared" si="2"/>
        <v>150000</v>
      </c>
      <c r="J10" s="40">
        <f aca="true" t="shared" si="3" ref="J10:Q10">J11+J17+J22+J25+J29+J34+J37</f>
        <v>1900</v>
      </c>
      <c r="K10" s="40">
        <f t="shared" si="3"/>
        <v>11328.75</v>
      </c>
      <c r="L10" s="40">
        <f t="shared" si="3"/>
        <v>374976</v>
      </c>
      <c r="M10" s="40">
        <f t="shared" si="3"/>
        <v>37100</v>
      </c>
      <c r="N10" s="40">
        <f t="shared" si="3"/>
        <v>543715.2</v>
      </c>
      <c r="O10" s="98">
        <f>O11+O17+O22+O25+O29+O34+O37</f>
        <v>38000</v>
      </c>
      <c r="P10" s="98">
        <f t="shared" si="3"/>
        <v>3000</v>
      </c>
      <c r="Q10" s="98">
        <f t="shared" si="3"/>
        <v>1600</v>
      </c>
      <c r="R10" s="40">
        <f t="shared" si="2"/>
        <v>0</v>
      </c>
      <c r="S10" s="40">
        <f t="shared" si="2"/>
        <v>2054399.76</v>
      </c>
      <c r="T10" s="40">
        <f>T11+T17+T22+T25+T29+T34+T37</f>
        <v>1096100</v>
      </c>
      <c r="U10" s="40">
        <f>U11+U17+U22+U25+U29+U34+U37</f>
        <v>270058.09</v>
      </c>
      <c r="V10" s="40">
        <f>V11+V17+V22+V25+V29+V34+V37</f>
        <v>21426.12</v>
      </c>
      <c r="W10" s="40">
        <f t="shared" si="2"/>
        <v>0</v>
      </c>
      <c r="X10" s="40">
        <f t="shared" si="2"/>
        <v>85700</v>
      </c>
      <c r="Y10" s="40">
        <f>Y11+Y17+Y22+Y25+Y29+Y34+Y37</f>
        <v>18660</v>
      </c>
      <c r="Z10" s="40">
        <f t="shared" si="2"/>
        <v>300000</v>
      </c>
      <c r="AA10" s="40">
        <f t="shared" si="2"/>
        <v>10000</v>
      </c>
      <c r="AB10" s="40">
        <f t="shared" si="2"/>
        <v>0</v>
      </c>
      <c r="AC10" s="40">
        <f t="shared" si="2"/>
        <v>895776</v>
      </c>
      <c r="AD10" s="40">
        <f t="shared" si="2"/>
        <v>24161.079999999998</v>
      </c>
      <c r="AE10" s="40">
        <f t="shared" si="2"/>
        <v>9935.3</v>
      </c>
      <c r="AF10" s="40">
        <f t="shared" si="2"/>
        <v>247054.5</v>
      </c>
      <c r="AG10" s="40">
        <f t="shared" si="2"/>
        <v>0</v>
      </c>
      <c r="AH10" s="40">
        <f t="shared" si="2"/>
        <v>0</v>
      </c>
    </row>
    <row r="11" spans="1:34" ht="42.75" customHeight="1" hidden="1">
      <c r="A11" s="28" t="s">
        <v>202</v>
      </c>
      <c r="B11" s="73">
        <v>1100</v>
      </c>
      <c r="C11" s="73">
        <v>120</v>
      </c>
      <c r="D11" s="40">
        <f aca="true" t="shared" si="4" ref="D11:AH11">D12+D13+D14+D15+D16</f>
        <v>0</v>
      </c>
      <c r="E11" s="40">
        <f t="shared" si="4"/>
        <v>0</v>
      </c>
      <c r="F11" s="40">
        <f t="shared" si="4"/>
        <v>0</v>
      </c>
      <c r="G11" s="40">
        <f t="shared" si="4"/>
        <v>0</v>
      </c>
      <c r="H11" s="40">
        <f>H12+H13+H14+H15+H16</f>
        <v>0</v>
      </c>
      <c r="I11" s="40">
        <f t="shared" si="4"/>
        <v>0</v>
      </c>
      <c r="J11" s="40">
        <f aca="true" t="shared" si="5" ref="J11:Q11">J12+J13+J14+J15+J16</f>
        <v>0</v>
      </c>
      <c r="K11" s="40">
        <f t="shared" si="5"/>
        <v>0</v>
      </c>
      <c r="L11" s="40">
        <f t="shared" si="5"/>
        <v>0</v>
      </c>
      <c r="M11" s="40">
        <f t="shared" si="5"/>
        <v>0</v>
      </c>
      <c r="N11" s="40">
        <f t="shared" si="5"/>
        <v>0</v>
      </c>
      <c r="O11" s="40">
        <f>O12+O13+O14+O15+O16</f>
        <v>0</v>
      </c>
      <c r="P11" s="40">
        <f t="shared" si="5"/>
        <v>0</v>
      </c>
      <c r="Q11" s="40">
        <f t="shared" si="5"/>
        <v>0</v>
      </c>
      <c r="R11" s="40">
        <f t="shared" si="4"/>
        <v>0</v>
      </c>
      <c r="S11" s="40">
        <f t="shared" si="4"/>
        <v>0</v>
      </c>
      <c r="T11" s="40">
        <f>T12+T13+T14+T15+T16</f>
        <v>0</v>
      </c>
      <c r="U11" s="40">
        <f>U12+U13+U14+U15+U16</f>
        <v>0</v>
      </c>
      <c r="V11" s="40">
        <f>V12+V13+V14+V15+V16</f>
        <v>0</v>
      </c>
      <c r="W11" s="40">
        <f t="shared" si="4"/>
        <v>0</v>
      </c>
      <c r="X11" s="40">
        <f t="shared" si="4"/>
        <v>0</v>
      </c>
      <c r="Y11" s="40">
        <f>Y12+Y13+Y14+Y15+Y16</f>
        <v>0</v>
      </c>
      <c r="Z11" s="40">
        <f t="shared" si="4"/>
        <v>0</v>
      </c>
      <c r="AA11" s="40">
        <f t="shared" si="4"/>
        <v>0</v>
      </c>
      <c r="AB11" s="40">
        <f t="shared" si="4"/>
        <v>0</v>
      </c>
      <c r="AC11" s="40">
        <f t="shared" si="4"/>
        <v>0</v>
      </c>
      <c r="AD11" s="40">
        <f t="shared" si="4"/>
        <v>0</v>
      </c>
      <c r="AE11" s="40">
        <f t="shared" si="4"/>
        <v>0</v>
      </c>
      <c r="AF11" s="40">
        <f t="shared" si="4"/>
        <v>0</v>
      </c>
      <c r="AG11" s="40">
        <f t="shared" si="4"/>
        <v>0</v>
      </c>
      <c r="AH11" s="40">
        <f t="shared" si="4"/>
        <v>0</v>
      </c>
    </row>
    <row r="12" spans="1:34" ht="34.5" customHeight="1" hidden="1">
      <c r="A12" s="36" t="s">
        <v>204</v>
      </c>
      <c r="B12" s="73">
        <v>1110</v>
      </c>
      <c r="C12" s="73">
        <v>120</v>
      </c>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row>
    <row r="13" spans="1:34" ht="27" customHeight="1" hidden="1">
      <c r="A13" s="36" t="s">
        <v>101</v>
      </c>
      <c r="B13" s="73">
        <v>1120</v>
      </c>
      <c r="C13" s="73">
        <v>120</v>
      </c>
      <c r="D13" s="73"/>
      <c r="E13" s="73"/>
      <c r="F13" s="73"/>
      <c r="G13" s="272"/>
      <c r="H13" s="214"/>
      <c r="I13" s="73"/>
      <c r="J13" s="260"/>
      <c r="K13" s="211"/>
      <c r="L13" s="238"/>
      <c r="M13" s="211"/>
      <c r="N13" s="234"/>
      <c r="O13" s="287"/>
      <c r="P13" s="267"/>
      <c r="Q13" s="276"/>
      <c r="R13" s="73"/>
      <c r="S13" s="235"/>
      <c r="T13" s="224"/>
      <c r="U13" s="73"/>
      <c r="V13" s="240"/>
      <c r="W13" s="73"/>
      <c r="X13" s="73"/>
      <c r="Y13" s="73"/>
      <c r="Z13" s="73"/>
      <c r="AA13" s="265"/>
      <c r="AB13" s="73"/>
      <c r="AC13" s="73"/>
      <c r="AD13" s="240"/>
      <c r="AE13" s="231"/>
      <c r="AF13" s="73"/>
      <c r="AG13" s="73"/>
      <c r="AH13" s="73"/>
    </row>
    <row r="14" spans="1:34" ht="33" customHeight="1" hidden="1">
      <c r="A14" s="36" t="s">
        <v>100</v>
      </c>
      <c r="B14" s="73">
        <v>1130</v>
      </c>
      <c r="C14" s="73">
        <v>120</v>
      </c>
      <c r="D14" s="73"/>
      <c r="E14" s="73"/>
      <c r="F14" s="73"/>
      <c r="G14" s="272"/>
      <c r="H14" s="214"/>
      <c r="I14" s="73"/>
      <c r="J14" s="260"/>
      <c r="K14" s="211"/>
      <c r="L14" s="238"/>
      <c r="M14" s="211"/>
      <c r="N14" s="234"/>
      <c r="O14" s="287"/>
      <c r="P14" s="267"/>
      <c r="Q14" s="276"/>
      <c r="R14" s="73"/>
      <c r="S14" s="235"/>
      <c r="T14" s="224"/>
      <c r="U14" s="73"/>
      <c r="V14" s="240"/>
      <c r="W14" s="73"/>
      <c r="X14" s="73"/>
      <c r="Y14" s="73"/>
      <c r="Z14" s="73"/>
      <c r="AA14" s="265"/>
      <c r="AB14" s="73"/>
      <c r="AC14" s="73"/>
      <c r="AD14" s="240"/>
      <c r="AE14" s="231"/>
      <c r="AF14" s="73"/>
      <c r="AG14" s="73"/>
      <c r="AH14" s="73"/>
    </row>
    <row r="15" spans="1:34" ht="25.5" customHeight="1" hidden="1">
      <c r="A15" s="37" t="s">
        <v>65</v>
      </c>
      <c r="B15" s="73">
        <v>1140</v>
      </c>
      <c r="C15" s="73">
        <v>120</v>
      </c>
      <c r="D15" s="73"/>
      <c r="E15" s="73"/>
      <c r="F15" s="73"/>
      <c r="G15" s="272"/>
      <c r="H15" s="214"/>
      <c r="I15" s="73"/>
      <c r="J15" s="260"/>
      <c r="K15" s="211"/>
      <c r="L15" s="238"/>
      <c r="M15" s="211"/>
      <c r="N15" s="234"/>
      <c r="O15" s="287"/>
      <c r="P15" s="267"/>
      <c r="Q15" s="276"/>
      <c r="R15" s="73"/>
      <c r="S15" s="235"/>
      <c r="T15" s="224"/>
      <c r="U15" s="73"/>
      <c r="V15" s="240"/>
      <c r="W15" s="73"/>
      <c r="X15" s="73"/>
      <c r="Y15" s="73"/>
      <c r="Z15" s="73"/>
      <c r="AA15" s="265"/>
      <c r="AB15" s="73"/>
      <c r="AC15" s="73"/>
      <c r="AD15" s="240"/>
      <c r="AE15" s="231"/>
      <c r="AF15" s="73"/>
      <c r="AG15" s="73"/>
      <c r="AH15" s="73"/>
    </row>
    <row r="16" spans="1:34" ht="35.25" customHeight="1" hidden="1">
      <c r="A16" s="37" t="s">
        <v>102</v>
      </c>
      <c r="B16" s="73">
        <v>1150</v>
      </c>
      <c r="C16" s="73">
        <v>120</v>
      </c>
      <c r="D16" s="73"/>
      <c r="E16" s="73"/>
      <c r="F16" s="73"/>
      <c r="G16" s="272"/>
      <c r="H16" s="214"/>
      <c r="I16" s="73"/>
      <c r="J16" s="260"/>
      <c r="K16" s="211"/>
      <c r="L16" s="238"/>
      <c r="M16" s="211"/>
      <c r="N16" s="234"/>
      <c r="O16" s="287"/>
      <c r="P16" s="267"/>
      <c r="Q16" s="276"/>
      <c r="R16" s="73"/>
      <c r="S16" s="235"/>
      <c r="T16" s="224"/>
      <c r="U16" s="73"/>
      <c r="V16" s="240"/>
      <c r="W16" s="73"/>
      <c r="X16" s="73"/>
      <c r="Y16" s="73"/>
      <c r="Z16" s="73"/>
      <c r="AA16" s="265"/>
      <c r="AB16" s="73"/>
      <c r="AC16" s="73"/>
      <c r="AD16" s="240"/>
      <c r="AE16" s="231"/>
      <c r="AF16" s="73"/>
      <c r="AG16" s="73"/>
      <c r="AH16" s="73"/>
    </row>
    <row r="17" spans="1:34" ht="21.75" customHeight="1" hidden="1">
      <c r="A17" s="28" t="s">
        <v>201</v>
      </c>
      <c r="B17" s="92">
        <v>1200</v>
      </c>
      <c r="C17" s="73">
        <v>130</v>
      </c>
      <c r="D17" s="40">
        <f aca="true" t="shared" si="6" ref="D17:AH17">D18+D19+D20+D21</f>
        <v>0</v>
      </c>
      <c r="E17" s="40">
        <f t="shared" si="6"/>
        <v>0</v>
      </c>
      <c r="F17" s="40">
        <f t="shared" si="6"/>
        <v>0</v>
      </c>
      <c r="G17" s="40">
        <f t="shared" si="6"/>
        <v>0</v>
      </c>
      <c r="H17" s="40">
        <f>H18+H19+H20+H21</f>
        <v>0</v>
      </c>
      <c r="I17" s="40">
        <f t="shared" si="6"/>
        <v>0</v>
      </c>
      <c r="J17" s="40">
        <f aca="true" t="shared" si="7" ref="J17:Q17">J18+J19+J20+J21</f>
        <v>0</v>
      </c>
      <c r="K17" s="40">
        <f t="shared" si="7"/>
        <v>0</v>
      </c>
      <c r="L17" s="40">
        <f t="shared" si="7"/>
        <v>0</v>
      </c>
      <c r="M17" s="40">
        <f t="shared" si="7"/>
        <v>0</v>
      </c>
      <c r="N17" s="40">
        <f t="shared" si="7"/>
        <v>0</v>
      </c>
      <c r="O17" s="40">
        <f>O18+O19+O20+O21</f>
        <v>0</v>
      </c>
      <c r="P17" s="40">
        <f t="shared" si="7"/>
        <v>0</v>
      </c>
      <c r="Q17" s="40">
        <f t="shared" si="7"/>
        <v>0</v>
      </c>
      <c r="R17" s="40">
        <f t="shared" si="6"/>
        <v>0</v>
      </c>
      <c r="S17" s="40">
        <f t="shared" si="6"/>
        <v>0</v>
      </c>
      <c r="T17" s="40">
        <f>T18+T19+T20+T21</f>
        <v>0</v>
      </c>
      <c r="U17" s="40">
        <f>U18+U19+U20+U21</f>
        <v>0</v>
      </c>
      <c r="V17" s="40">
        <f>V18+V19+V20+V21</f>
        <v>0</v>
      </c>
      <c r="W17" s="40">
        <f t="shared" si="6"/>
        <v>0</v>
      </c>
      <c r="X17" s="40">
        <f t="shared" si="6"/>
        <v>0</v>
      </c>
      <c r="Y17" s="40">
        <f>Y18+Y19+Y20+Y21</f>
        <v>0</v>
      </c>
      <c r="Z17" s="40">
        <f t="shared" si="6"/>
        <v>0</v>
      </c>
      <c r="AA17" s="40">
        <f t="shared" si="6"/>
        <v>0</v>
      </c>
      <c r="AB17" s="40">
        <f t="shared" si="6"/>
        <v>0</v>
      </c>
      <c r="AC17" s="40">
        <f t="shared" si="6"/>
        <v>0</v>
      </c>
      <c r="AD17" s="40">
        <f t="shared" si="6"/>
        <v>0</v>
      </c>
      <c r="AE17" s="40">
        <f t="shared" si="6"/>
        <v>0</v>
      </c>
      <c r="AF17" s="40">
        <f t="shared" si="6"/>
        <v>0</v>
      </c>
      <c r="AG17" s="40">
        <f t="shared" si="6"/>
        <v>0</v>
      </c>
      <c r="AH17" s="40">
        <f t="shared" si="6"/>
        <v>0</v>
      </c>
    </row>
    <row r="18" spans="1:34" ht="43.5" customHeight="1" hidden="1">
      <c r="A18" s="36" t="s">
        <v>205</v>
      </c>
      <c r="B18" s="73">
        <v>1210</v>
      </c>
      <c r="C18" s="26">
        <v>130</v>
      </c>
      <c r="D18" s="73"/>
      <c r="E18" s="73"/>
      <c r="F18" s="73"/>
      <c r="G18" s="272"/>
      <c r="H18" s="214"/>
      <c r="I18" s="73"/>
      <c r="J18" s="260"/>
      <c r="K18" s="211"/>
      <c r="L18" s="238"/>
      <c r="M18" s="211"/>
      <c r="N18" s="234"/>
      <c r="O18" s="287"/>
      <c r="P18" s="267"/>
      <c r="Q18" s="276"/>
      <c r="R18" s="73"/>
      <c r="S18" s="235"/>
      <c r="T18" s="224"/>
      <c r="U18" s="73"/>
      <c r="V18" s="240"/>
      <c r="W18" s="73"/>
      <c r="X18" s="73"/>
      <c r="Y18" s="73"/>
      <c r="Z18" s="73"/>
      <c r="AA18" s="265"/>
      <c r="AB18" s="73"/>
      <c r="AC18" s="73"/>
      <c r="AD18" s="240"/>
      <c r="AE18" s="231"/>
      <c r="AF18" s="73"/>
      <c r="AG18" s="73"/>
      <c r="AH18" s="73"/>
    </row>
    <row r="19" spans="1:34" ht="48.75" customHeight="1" hidden="1">
      <c r="A19" s="36" t="s">
        <v>103</v>
      </c>
      <c r="B19" s="73">
        <v>1220</v>
      </c>
      <c r="C19" s="73">
        <v>130</v>
      </c>
      <c r="D19" s="73"/>
      <c r="E19" s="73"/>
      <c r="F19" s="73"/>
      <c r="G19" s="272"/>
      <c r="H19" s="214"/>
      <c r="I19" s="73"/>
      <c r="J19" s="260"/>
      <c r="K19" s="211"/>
      <c r="L19" s="238"/>
      <c r="M19" s="211"/>
      <c r="N19" s="234"/>
      <c r="O19" s="287"/>
      <c r="P19" s="267"/>
      <c r="Q19" s="276"/>
      <c r="R19" s="73"/>
      <c r="S19" s="235"/>
      <c r="T19" s="224"/>
      <c r="U19" s="73"/>
      <c r="V19" s="240"/>
      <c r="W19" s="73"/>
      <c r="X19" s="73"/>
      <c r="Y19" s="73"/>
      <c r="Z19" s="73"/>
      <c r="AA19" s="265"/>
      <c r="AB19" s="73"/>
      <c r="AC19" s="73"/>
      <c r="AD19" s="240"/>
      <c r="AE19" s="231"/>
      <c r="AF19" s="73"/>
      <c r="AG19" s="73"/>
      <c r="AH19" s="73"/>
    </row>
    <row r="20" spans="1:34" ht="44.25" customHeight="1" hidden="1">
      <c r="A20" s="36" t="s">
        <v>104</v>
      </c>
      <c r="B20" s="73">
        <v>1230</v>
      </c>
      <c r="C20" s="73">
        <v>130</v>
      </c>
      <c r="D20" s="73"/>
      <c r="E20" s="73"/>
      <c r="F20" s="73"/>
      <c r="G20" s="272"/>
      <c r="H20" s="214"/>
      <c r="I20" s="73"/>
      <c r="J20" s="260"/>
      <c r="K20" s="211"/>
      <c r="L20" s="238"/>
      <c r="M20" s="211"/>
      <c r="N20" s="234"/>
      <c r="O20" s="287"/>
      <c r="P20" s="267"/>
      <c r="Q20" s="276"/>
      <c r="R20" s="73"/>
      <c r="S20" s="235"/>
      <c r="T20" s="224"/>
      <c r="U20" s="73"/>
      <c r="V20" s="240"/>
      <c r="W20" s="73"/>
      <c r="X20" s="73"/>
      <c r="Y20" s="73"/>
      <c r="Z20" s="73"/>
      <c r="AA20" s="265"/>
      <c r="AB20" s="73"/>
      <c r="AC20" s="73"/>
      <c r="AD20" s="240"/>
      <c r="AE20" s="231"/>
      <c r="AF20" s="73"/>
      <c r="AG20" s="73"/>
      <c r="AH20" s="73"/>
    </row>
    <row r="21" spans="1:34" ht="23.25" customHeight="1" hidden="1">
      <c r="A21" s="36" t="s">
        <v>66</v>
      </c>
      <c r="B21" s="73">
        <v>1240</v>
      </c>
      <c r="C21" s="73">
        <v>130</v>
      </c>
      <c r="D21" s="73"/>
      <c r="E21" s="73"/>
      <c r="F21" s="73"/>
      <c r="G21" s="272"/>
      <c r="H21" s="214"/>
      <c r="I21" s="73"/>
      <c r="J21" s="260"/>
      <c r="K21" s="211"/>
      <c r="L21" s="238"/>
      <c r="M21" s="211"/>
      <c r="N21" s="234"/>
      <c r="O21" s="287"/>
      <c r="P21" s="267"/>
      <c r="Q21" s="276"/>
      <c r="R21" s="73"/>
      <c r="S21" s="235"/>
      <c r="T21" s="224"/>
      <c r="U21" s="73"/>
      <c r="V21" s="240"/>
      <c r="W21" s="73"/>
      <c r="X21" s="73"/>
      <c r="Y21" s="73"/>
      <c r="Z21" s="73"/>
      <c r="AA21" s="265"/>
      <c r="AB21" s="73"/>
      <c r="AC21" s="73"/>
      <c r="AD21" s="240"/>
      <c r="AE21" s="231"/>
      <c r="AF21" s="73"/>
      <c r="AG21" s="73"/>
      <c r="AH21" s="73"/>
    </row>
    <row r="22" spans="1:34" ht="20.25" customHeight="1" hidden="1">
      <c r="A22" s="28" t="s">
        <v>206</v>
      </c>
      <c r="B22" s="73">
        <v>1300</v>
      </c>
      <c r="C22" s="73">
        <v>140</v>
      </c>
      <c r="D22" s="40">
        <f aca="true" t="shared" si="8" ref="D22:AH22">D23+D24</f>
        <v>0</v>
      </c>
      <c r="E22" s="40">
        <f t="shared" si="8"/>
        <v>0</v>
      </c>
      <c r="F22" s="40">
        <f t="shared" si="8"/>
        <v>0</v>
      </c>
      <c r="G22" s="40">
        <f t="shared" si="8"/>
        <v>0</v>
      </c>
      <c r="H22" s="40">
        <f>H23+H24</f>
        <v>0</v>
      </c>
      <c r="I22" s="40">
        <f t="shared" si="8"/>
        <v>0</v>
      </c>
      <c r="J22" s="40">
        <f aca="true" t="shared" si="9" ref="J22:Q22">J23+J24</f>
        <v>0</v>
      </c>
      <c r="K22" s="40">
        <f t="shared" si="9"/>
        <v>0</v>
      </c>
      <c r="L22" s="40">
        <f t="shared" si="9"/>
        <v>0</v>
      </c>
      <c r="M22" s="40">
        <f t="shared" si="9"/>
        <v>0</v>
      </c>
      <c r="N22" s="40">
        <f t="shared" si="9"/>
        <v>0</v>
      </c>
      <c r="O22" s="40">
        <f>O23+O24</f>
        <v>0</v>
      </c>
      <c r="P22" s="40">
        <f t="shared" si="9"/>
        <v>0</v>
      </c>
      <c r="Q22" s="40">
        <f t="shared" si="9"/>
        <v>0</v>
      </c>
      <c r="R22" s="40">
        <f t="shared" si="8"/>
        <v>0</v>
      </c>
      <c r="S22" s="40">
        <f t="shared" si="8"/>
        <v>0</v>
      </c>
      <c r="T22" s="40">
        <f>T23+T24</f>
        <v>0</v>
      </c>
      <c r="U22" s="40">
        <f>U23+U24</f>
        <v>0</v>
      </c>
      <c r="V22" s="40">
        <f>V23+V24</f>
        <v>0</v>
      </c>
      <c r="W22" s="40">
        <f t="shared" si="8"/>
        <v>0</v>
      </c>
      <c r="X22" s="40">
        <f t="shared" si="8"/>
        <v>0</v>
      </c>
      <c r="Y22" s="40">
        <f>Y23+Y24</f>
        <v>0</v>
      </c>
      <c r="Z22" s="40">
        <f t="shared" si="8"/>
        <v>0</v>
      </c>
      <c r="AA22" s="40">
        <f t="shared" si="8"/>
        <v>0</v>
      </c>
      <c r="AB22" s="40">
        <f t="shared" si="8"/>
        <v>0</v>
      </c>
      <c r="AC22" s="40">
        <f t="shared" si="8"/>
        <v>0</v>
      </c>
      <c r="AD22" s="40">
        <f t="shared" si="8"/>
        <v>0</v>
      </c>
      <c r="AE22" s="40">
        <f t="shared" si="8"/>
        <v>0</v>
      </c>
      <c r="AF22" s="40">
        <f t="shared" si="8"/>
        <v>0</v>
      </c>
      <c r="AG22" s="40">
        <f t="shared" si="8"/>
        <v>0</v>
      </c>
      <c r="AH22" s="40">
        <f t="shared" si="8"/>
        <v>0</v>
      </c>
    </row>
    <row r="23" spans="1:34" ht="64.5" customHeight="1" hidden="1">
      <c r="A23" s="36" t="s">
        <v>207</v>
      </c>
      <c r="B23" s="73">
        <v>1310</v>
      </c>
      <c r="C23" s="73">
        <v>140</v>
      </c>
      <c r="D23" s="73"/>
      <c r="E23" s="73"/>
      <c r="F23" s="73"/>
      <c r="G23" s="272"/>
      <c r="H23" s="214"/>
      <c r="I23" s="73"/>
      <c r="J23" s="260"/>
      <c r="K23" s="211"/>
      <c r="L23" s="238"/>
      <c r="M23" s="211"/>
      <c r="N23" s="234"/>
      <c r="O23" s="287"/>
      <c r="P23" s="267"/>
      <c r="Q23" s="276"/>
      <c r="R23" s="73"/>
      <c r="S23" s="235"/>
      <c r="T23" s="224"/>
      <c r="U23" s="73"/>
      <c r="V23" s="240"/>
      <c r="W23" s="73"/>
      <c r="X23" s="73"/>
      <c r="Y23" s="73"/>
      <c r="Z23" s="73"/>
      <c r="AA23" s="265"/>
      <c r="AB23" s="73"/>
      <c r="AC23" s="73"/>
      <c r="AD23" s="240"/>
      <c r="AE23" s="231"/>
      <c r="AF23" s="73"/>
      <c r="AG23" s="73"/>
      <c r="AH23" s="73"/>
    </row>
    <row r="24" spans="1:34" ht="28.5" customHeight="1" hidden="1">
      <c r="A24" s="36" t="s">
        <v>67</v>
      </c>
      <c r="B24" s="73">
        <v>1320</v>
      </c>
      <c r="C24" s="73">
        <v>140</v>
      </c>
      <c r="D24" s="73"/>
      <c r="E24" s="73"/>
      <c r="F24" s="73"/>
      <c r="G24" s="272"/>
      <c r="H24" s="214"/>
      <c r="I24" s="73"/>
      <c r="J24" s="260"/>
      <c r="K24" s="211"/>
      <c r="L24" s="238"/>
      <c r="M24" s="211"/>
      <c r="N24" s="234"/>
      <c r="O24" s="287"/>
      <c r="P24" s="267"/>
      <c r="Q24" s="276"/>
      <c r="R24" s="73"/>
      <c r="S24" s="235"/>
      <c r="T24" s="224"/>
      <c r="U24" s="73"/>
      <c r="V24" s="240"/>
      <c r="W24" s="73"/>
      <c r="X24" s="73"/>
      <c r="Y24" s="73"/>
      <c r="Z24" s="73"/>
      <c r="AA24" s="265"/>
      <c r="AB24" s="73"/>
      <c r="AC24" s="73"/>
      <c r="AD24" s="240"/>
      <c r="AE24" s="231"/>
      <c r="AF24" s="73"/>
      <c r="AG24" s="73"/>
      <c r="AH24" s="73"/>
    </row>
    <row r="25" spans="1:34" ht="23.25" customHeight="1" hidden="1">
      <c r="A25" s="35" t="s">
        <v>208</v>
      </c>
      <c r="B25" s="73">
        <v>1400</v>
      </c>
      <c r="C25" s="73">
        <v>150</v>
      </c>
      <c r="D25" s="40">
        <f aca="true" t="shared" si="10" ref="D25:AH25">D26+D27+D28</f>
        <v>0</v>
      </c>
      <c r="E25" s="40">
        <f t="shared" si="10"/>
        <v>0</v>
      </c>
      <c r="F25" s="40">
        <f t="shared" si="10"/>
        <v>0</v>
      </c>
      <c r="G25" s="40">
        <f t="shared" si="10"/>
        <v>0</v>
      </c>
      <c r="H25" s="40">
        <f>H26+H27+H28</f>
        <v>0</v>
      </c>
      <c r="I25" s="40">
        <f t="shared" si="10"/>
        <v>0</v>
      </c>
      <c r="J25" s="40">
        <f aca="true" t="shared" si="11" ref="J25:Q25">J26+J27+J28</f>
        <v>0</v>
      </c>
      <c r="K25" s="40">
        <f t="shared" si="11"/>
        <v>0</v>
      </c>
      <c r="L25" s="40">
        <f t="shared" si="11"/>
        <v>0</v>
      </c>
      <c r="M25" s="40">
        <f t="shared" si="11"/>
        <v>0</v>
      </c>
      <c r="N25" s="40">
        <f t="shared" si="11"/>
        <v>0</v>
      </c>
      <c r="O25" s="40">
        <f>O26+O27+O28</f>
        <v>0</v>
      </c>
      <c r="P25" s="40">
        <f t="shared" si="11"/>
        <v>0</v>
      </c>
      <c r="Q25" s="40">
        <f t="shared" si="11"/>
        <v>0</v>
      </c>
      <c r="R25" s="40">
        <f t="shared" si="10"/>
        <v>0</v>
      </c>
      <c r="S25" s="40">
        <f t="shared" si="10"/>
        <v>0</v>
      </c>
      <c r="T25" s="40">
        <f>T26+T27+T28</f>
        <v>0</v>
      </c>
      <c r="U25" s="40">
        <f>U26+U27+U28</f>
        <v>0</v>
      </c>
      <c r="V25" s="40">
        <f>V26+V27+V28</f>
        <v>0</v>
      </c>
      <c r="W25" s="40">
        <f t="shared" si="10"/>
        <v>0</v>
      </c>
      <c r="X25" s="40">
        <f t="shared" si="10"/>
        <v>0</v>
      </c>
      <c r="Y25" s="40">
        <f>Y26+Y27+Y28</f>
        <v>0</v>
      </c>
      <c r="Z25" s="40">
        <f t="shared" si="10"/>
        <v>0</v>
      </c>
      <c r="AA25" s="40">
        <f t="shared" si="10"/>
        <v>0</v>
      </c>
      <c r="AB25" s="40">
        <f t="shared" si="10"/>
        <v>0</v>
      </c>
      <c r="AC25" s="40">
        <f t="shared" si="10"/>
        <v>0</v>
      </c>
      <c r="AD25" s="40">
        <f t="shared" si="10"/>
        <v>0</v>
      </c>
      <c r="AE25" s="40">
        <f t="shared" si="10"/>
        <v>0</v>
      </c>
      <c r="AF25" s="40">
        <f t="shared" si="10"/>
        <v>0</v>
      </c>
      <c r="AG25" s="40">
        <f t="shared" si="10"/>
        <v>0</v>
      </c>
      <c r="AH25" s="40">
        <f t="shared" si="10"/>
        <v>0</v>
      </c>
    </row>
    <row r="26" spans="1:34" ht="31.5" customHeight="1" hidden="1">
      <c r="A26" s="37" t="s">
        <v>211</v>
      </c>
      <c r="B26" s="73">
        <v>1410</v>
      </c>
      <c r="C26" s="73">
        <v>150</v>
      </c>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row>
    <row r="27" spans="1:34" ht="21" customHeight="1" hidden="1">
      <c r="A27" s="37" t="s">
        <v>105</v>
      </c>
      <c r="B27" s="73">
        <v>1420</v>
      </c>
      <c r="C27" s="73">
        <v>150</v>
      </c>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row>
    <row r="28" spans="1:34" ht="49.5" customHeight="1" hidden="1">
      <c r="A28" s="37" t="s">
        <v>209</v>
      </c>
      <c r="B28" s="73">
        <v>1430</v>
      </c>
      <c r="C28" s="73">
        <v>150</v>
      </c>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row>
    <row r="29" spans="1:34" ht="22.5" customHeight="1" hidden="1">
      <c r="A29" s="35" t="s">
        <v>212</v>
      </c>
      <c r="B29" s="73">
        <v>1500</v>
      </c>
      <c r="C29" s="73" t="s">
        <v>203</v>
      </c>
      <c r="D29" s="40">
        <f aca="true" t="shared" si="12" ref="D29:AH29">D30+D31+D32+D33</f>
        <v>8439610.8</v>
      </c>
      <c r="E29" s="40">
        <f t="shared" si="12"/>
        <v>1572480</v>
      </c>
      <c r="F29" s="40">
        <f t="shared" si="12"/>
        <v>0</v>
      </c>
      <c r="G29" s="40">
        <f t="shared" si="12"/>
        <v>246240</v>
      </c>
      <c r="H29" s="40">
        <f>H30+H31+H32+H33</f>
        <v>426000</v>
      </c>
      <c r="I29" s="40">
        <f t="shared" si="12"/>
        <v>150000</v>
      </c>
      <c r="J29" s="40">
        <f aca="true" t="shared" si="13" ref="J29:Q29">J30+J31+J32+J33</f>
        <v>1900</v>
      </c>
      <c r="K29" s="40">
        <f t="shared" si="13"/>
        <v>11328.75</v>
      </c>
      <c r="L29" s="40">
        <f t="shared" si="13"/>
        <v>374976</v>
      </c>
      <c r="M29" s="40">
        <f t="shared" si="13"/>
        <v>37100</v>
      </c>
      <c r="N29" s="40">
        <f t="shared" si="13"/>
        <v>543715.2</v>
      </c>
      <c r="O29" s="40">
        <f>O30+O31+O32+O33</f>
        <v>38000</v>
      </c>
      <c r="P29" s="40">
        <f t="shared" si="13"/>
        <v>3000</v>
      </c>
      <c r="Q29" s="40">
        <f t="shared" si="13"/>
        <v>1600</v>
      </c>
      <c r="R29" s="40">
        <f t="shared" si="12"/>
        <v>0</v>
      </c>
      <c r="S29" s="40">
        <f t="shared" si="12"/>
        <v>2054399.76</v>
      </c>
      <c r="T29" s="40">
        <f>T30+T31+T32+T33</f>
        <v>1096100</v>
      </c>
      <c r="U29" s="40">
        <f>U30+U31+U32+U33</f>
        <v>270058.09</v>
      </c>
      <c r="V29" s="40">
        <f>V30+V31+V32+V33</f>
        <v>21426.12</v>
      </c>
      <c r="W29" s="40">
        <f t="shared" si="12"/>
        <v>0</v>
      </c>
      <c r="X29" s="40">
        <f t="shared" si="12"/>
        <v>85700</v>
      </c>
      <c r="Y29" s="40">
        <f>Y30+Y31+Y32+Y33</f>
        <v>18660</v>
      </c>
      <c r="Z29" s="40">
        <f t="shared" si="12"/>
        <v>300000</v>
      </c>
      <c r="AA29" s="40">
        <f t="shared" si="12"/>
        <v>10000</v>
      </c>
      <c r="AB29" s="40">
        <f t="shared" si="12"/>
        <v>0</v>
      </c>
      <c r="AC29" s="40">
        <f t="shared" si="12"/>
        <v>895776</v>
      </c>
      <c r="AD29" s="40">
        <f t="shared" si="12"/>
        <v>24161.079999999998</v>
      </c>
      <c r="AE29" s="40">
        <f t="shared" si="12"/>
        <v>9935.3</v>
      </c>
      <c r="AF29" s="40">
        <f t="shared" si="12"/>
        <v>247054.5</v>
      </c>
      <c r="AG29" s="40">
        <f t="shared" si="12"/>
        <v>0</v>
      </c>
      <c r="AH29" s="40">
        <f t="shared" si="12"/>
        <v>0</v>
      </c>
    </row>
    <row r="30" spans="1:34" ht="57.75" customHeight="1">
      <c r="A30" s="36" t="s">
        <v>210</v>
      </c>
      <c r="B30" s="73">
        <v>1510</v>
      </c>
      <c r="C30" s="31">
        <v>150</v>
      </c>
      <c r="D30" s="40">
        <f>SUM(E30:AH30)</f>
        <v>8439610.8</v>
      </c>
      <c r="E30" s="52">
        <v>1572480</v>
      </c>
      <c r="F30" s="52"/>
      <c r="G30" s="52">
        <v>246240</v>
      </c>
      <c r="H30" s="40">
        <v>426000</v>
      </c>
      <c r="I30" s="40">
        <v>150000</v>
      </c>
      <c r="J30" s="40">
        <v>1900</v>
      </c>
      <c r="K30" s="40">
        <v>11328.75</v>
      </c>
      <c r="L30" s="40">
        <v>374976</v>
      </c>
      <c r="M30" s="40">
        <v>37100</v>
      </c>
      <c r="N30" s="40">
        <v>543715.2</v>
      </c>
      <c r="O30" s="40">
        <v>38000</v>
      </c>
      <c r="P30" s="40">
        <v>3000</v>
      </c>
      <c r="Q30" s="40">
        <v>1600</v>
      </c>
      <c r="R30" s="40"/>
      <c r="S30" s="40">
        <v>2054399.76</v>
      </c>
      <c r="T30" s="40">
        <v>1096100</v>
      </c>
      <c r="U30" s="40">
        <v>270058.09</v>
      </c>
      <c r="V30" s="40">
        <f>14950.65+6475.47</f>
        <v>21426.12</v>
      </c>
      <c r="W30" s="40"/>
      <c r="X30" s="40">
        <f>99736-14036</f>
        <v>85700</v>
      </c>
      <c r="Y30" s="40">
        <v>18660</v>
      </c>
      <c r="Z30" s="40">
        <v>300000</v>
      </c>
      <c r="AA30" s="40">
        <v>10000</v>
      </c>
      <c r="AB30" s="40"/>
      <c r="AC30" s="40">
        <v>895776</v>
      </c>
      <c r="AD30" s="40">
        <f>16859.03+7302.05</f>
        <v>24161.079999999998</v>
      </c>
      <c r="AE30" s="40">
        <v>9935.3</v>
      </c>
      <c r="AF30" s="40">
        <v>247054.5</v>
      </c>
      <c r="AG30" s="40"/>
      <c r="AH30" s="40"/>
    </row>
    <row r="31" spans="1:34" ht="15.75" hidden="1">
      <c r="A31" s="37" t="s">
        <v>68</v>
      </c>
      <c r="B31" s="73">
        <v>1520</v>
      </c>
      <c r="C31" s="73">
        <v>150</v>
      </c>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row>
    <row r="32" spans="1:34" ht="15.75" hidden="1">
      <c r="A32" s="36" t="s">
        <v>69</v>
      </c>
      <c r="B32" s="73">
        <v>1530</v>
      </c>
      <c r="C32" s="73">
        <v>150</v>
      </c>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row>
    <row r="33" spans="1:34" ht="15.75" hidden="1">
      <c r="A33" s="36" t="s">
        <v>70</v>
      </c>
      <c r="B33" s="73">
        <v>1540</v>
      </c>
      <c r="C33" s="73">
        <v>180</v>
      </c>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row>
    <row r="34" spans="1:34" ht="15.75" hidden="1">
      <c r="A34" s="28" t="s">
        <v>213</v>
      </c>
      <c r="B34" s="73">
        <v>1600</v>
      </c>
      <c r="C34" s="73" t="s">
        <v>203</v>
      </c>
      <c r="D34" s="40">
        <f aca="true" t="shared" si="14" ref="D34:AH34">D35+D36</f>
        <v>0</v>
      </c>
      <c r="E34" s="40">
        <f t="shared" si="14"/>
        <v>0</v>
      </c>
      <c r="F34" s="40">
        <f t="shared" si="14"/>
        <v>0</v>
      </c>
      <c r="G34" s="40">
        <f t="shared" si="14"/>
        <v>0</v>
      </c>
      <c r="H34" s="40">
        <f>H35+H36</f>
        <v>0</v>
      </c>
      <c r="I34" s="40">
        <f t="shared" si="14"/>
        <v>0</v>
      </c>
      <c r="J34" s="40">
        <f aca="true" t="shared" si="15" ref="J34:Q34">J35+J36</f>
        <v>0</v>
      </c>
      <c r="K34" s="40">
        <f t="shared" si="15"/>
        <v>0</v>
      </c>
      <c r="L34" s="40">
        <f t="shared" si="15"/>
        <v>0</v>
      </c>
      <c r="M34" s="40">
        <f t="shared" si="15"/>
        <v>0</v>
      </c>
      <c r="N34" s="40">
        <f t="shared" si="15"/>
        <v>0</v>
      </c>
      <c r="O34" s="40">
        <f>O35+O36</f>
        <v>0</v>
      </c>
      <c r="P34" s="40">
        <f t="shared" si="15"/>
        <v>0</v>
      </c>
      <c r="Q34" s="40">
        <f t="shared" si="15"/>
        <v>0</v>
      </c>
      <c r="R34" s="40">
        <f t="shared" si="14"/>
        <v>0</v>
      </c>
      <c r="S34" s="40">
        <f t="shared" si="14"/>
        <v>0</v>
      </c>
      <c r="T34" s="40">
        <f>T35+T36</f>
        <v>0</v>
      </c>
      <c r="U34" s="40">
        <f>U35+U36</f>
        <v>0</v>
      </c>
      <c r="V34" s="40">
        <f>V35+V36</f>
        <v>0</v>
      </c>
      <c r="W34" s="40">
        <f t="shared" si="14"/>
        <v>0</v>
      </c>
      <c r="X34" s="40">
        <f t="shared" si="14"/>
        <v>0</v>
      </c>
      <c r="Y34" s="40">
        <f>Y35+Y36</f>
        <v>0</v>
      </c>
      <c r="Z34" s="40">
        <f t="shared" si="14"/>
        <v>0</v>
      </c>
      <c r="AA34" s="40">
        <f t="shared" si="14"/>
        <v>0</v>
      </c>
      <c r="AB34" s="40">
        <f t="shared" si="14"/>
        <v>0</v>
      </c>
      <c r="AC34" s="40">
        <f t="shared" si="14"/>
        <v>0</v>
      </c>
      <c r="AD34" s="40">
        <f t="shared" si="14"/>
        <v>0</v>
      </c>
      <c r="AE34" s="40">
        <f t="shared" si="14"/>
        <v>0</v>
      </c>
      <c r="AF34" s="40">
        <f t="shared" si="14"/>
        <v>0</v>
      </c>
      <c r="AG34" s="40">
        <f t="shared" si="14"/>
        <v>0</v>
      </c>
      <c r="AH34" s="40">
        <f t="shared" si="14"/>
        <v>0</v>
      </c>
    </row>
    <row r="35" spans="1:34" ht="33" customHeight="1" hidden="1">
      <c r="A35" s="36" t="s">
        <v>215</v>
      </c>
      <c r="B35" s="73">
        <v>1610</v>
      </c>
      <c r="C35" s="73">
        <v>410</v>
      </c>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row>
    <row r="36" spans="1:34" ht="21" customHeight="1" hidden="1">
      <c r="A36" s="36" t="s">
        <v>214</v>
      </c>
      <c r="B36" s="73">
        <v>1620</v>
      </c>
      <c r="C36" s="73">
        <v>440</v>
      </c>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row>
    <row r="37" spans="1:34" ht="15.75" hidden="1">
      <c r="A37" s="28" t="s">
        <v>216</v>
      </c>
      <c r="B37" s="73">
        <v>1700</v>
      </c>
      <c r="C37" s="73" t="s">
        <v>203</v>
      </c>
      <c r="D37" s="40">
        <f aca="true" t="shared" si="16" ref="D37:AH37">D38+D39</f>
        <v>0</v>
      </c>
      <c r="E37" s="40">
        <f t="shared" si="16"/>
        <v>0</v>
      </c>
      <c r="F37" s="40">
        <f t="shared" si="16"/>
        <v>0</v>
      </c>
      <c r="G37" s="40">
        <f t="shared" si="16"/>
        <v>0</v>
      </c>
      <c r="H37" s="40">
        <f>H38+H39</f>
        <v>0</v>
      </c>
      <c r="I37" s="40">
        <f t="shared" si="16"/>
        <v>0</v>
      </c>
      <c r="J37" s="40">
        <f aca="true" t="shared" si="17" ref="J37:Q37">J38+J39</f>
        <v>0</v>
      </c>
      <c r="K37" s="40">
        <f t="shared" si="17"/>
        <v>0</v>
      </c>
      <c r="L37" s="40">
        <f t="shared" si="17"/>
        <v>0</v>
      </c>
      <c r="M37" s="40">
        <f t="shared" si="17"/>
        <v>0</v>
      </c>
      <c r="N37" s="40">
        <f t="shared" si="17"/>
        <v>0</v>
      </c>
      <c r="O37" s="40">
        <f>O38+O39</f>
        <v>0</v>
      </c>
      <c r="P37" s="40">
        <f t="shared" si="17"/>
        <v>0</v>
      </c>
      <c r="Q37" s="40">
        <f t="shared" si="17"/>
        <v>0</v>
      </c>
      <c r="R37" s="40">
        <f t="shared" si="16"/>
        <v>0</v>
      </c>
      <c r="S37" s="40">
        <f t="shared" si="16"/>
        <v>0</v>
      </c>
      <c r="T37" s="40">
        <f>T38+T39</f>
        <v>0</v>
      </c>
      <c r="U37" s="40">
        <f>U38+U39</f>
        <v>0</v>
      </c>
      <c r="V37" s="40">
        <f>V38+V39</f>
        <v>0</v>
      </c>
      <c r="W37" s="40">
        <f t="shared" si="16"/>
        <v>0</v>
      </c>
      <c r="X37" s="40">
        <f t="shared" si="16"/>
        <v>0</v>
      </c>
      <c r="Y37" s="40">
        <f>Y38+Y39</f>
        <v>0</v>
      </c>
      <c r="Z37" s="40">
        <f t="shared" si="16"/>
        <v>0</v>
      </c>
      <c r="AA37" s="40">
        <f t="shared" si="16"/>
        <v>0</v>
      </c>
      <c r="AB37" s="40">
        <f t="shared" si="16"/>
        <v>0</v>
      </c>
      <c r="AC37" s="40">
        <f t="shared" si="16"/>
        <v>0</v>
      </c>
      <c r="AD37" s="40">
        <f t="shared" si="16"/>
        <v>0</v>
      </c>
      <c r="AE37" s="40">
        <f t="shared" si="16"/>
        <v>0</v>
      </c>
      <c r="AF37" s="40">
        <f t="shared" si="16"/>
        <v>0</v>
      </c>
      <c r="AG37" s="40">
        <f t="shared" si="16"/>
        <v>0</v>
      </c>
      <c r="AH37" s="40">
        <f t="shared" si="16"/>
        <v>0</v>
      </c>
    </row>
    <row r="38" spans="1:34" ht="31.5" customHeight="1" hidden="1">
      <c r="A38" s="36" t="s">
        <v>217</v>
      </c>
      <c r="B38" s="73">
        <v>1710</v>
      </c>
      <c r="C38" s="73">
        <v>510</v>
      </c>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row>
    <row r="39" spans="1:34" ht="15.75" hidden="1">
      <c r="A39" s="36" t="s">
        <v>219</v>
      </c>
      <c r="B39" s="73">
        <v>1720</v>
      </c>
      <c r="C39" s="73">
        <v>510</v>
      </c>
      <c r="D39" s="40">
        <f aca="true" t="shared" si="18" ref="D39:AH39">D40</f>
        <v>0</v>
      </c>
      <c r="E39" s="40">
        <f t="shared" si="18"/>
        <v>0</v>
      </c>
      <c r="F39" s="40">
        <f t="shared" si="18"/>
        <v>0</v>
      </c>
      <c r="G39" s="40">
        <f t="shared" si="18"/>
        <v>0</v>
      </c>
      <c r="H39" s="40">
        <f t="shared" si="18"/>
        <v>0</v>
      </c>
      <c r="I39" s="40">
        <f t="shared" si="18"/>
        <v>0</v>
      </c>
      <c r="J39" s="40">
        <f t="shared" si="18"/>
        <v>0</v>
      </c>
      <c r="K39" s="40">
        <f t="shared" si="18"/>
        <v>0</v>
      </c>
      <c r="L39" s="40">
        <f t="shared" si="18"/>
        <v>0</v>
      </c>
      <c r="M39" s="40">
        <f t="shared" si="18"/>
        <v>0</v>
      </c>
      <c r="N39" s="40">
        <f t="shared" si="18"/>
        <v>0</v>
      </c>
      <c r="O39" s="40">
        <f t="shared" si="18"/>
        <v>0</v>
      </c>
      <c r="P39" s="40">
        <f t="shared" si="18"/>
        <v>0</v>
      </c>
      <c r="Q39" s="40">
        <f t="shared" si="18"/>
        <v>0</v>
      </c>
      <c r="R39" s="40">
        <f t="shared" si="18"/>
        <v>0</v>
      </c>
      <c r="S39" s="40">
        <f t="shared" si="18"/>
        <v>0</v>
      </c>
      <c r="T39" s="40">
        <f t="shared" si="18"/>
        <v>0</v>
      </c>
      <c r="U39" s="40">
        <f t="shared" si="18"/>
        <v>0</v>
      </c>
      <c r="V39" s="40">
        <f t="shared" si="18"/>
        <v>0</v>
      </c>
      <c r="W39" s="40">
        <f t="shared" si="18"/>
        <v>0</v>
      </c>
      <c r="X39" s="40">
        <f t="shared" si="18"/>
        <v>0</v>
      </c>
      <c r="Y39" s="40">
        <f t="shared" si="18"/>
        <v>0</v>
      </c>
      <c r="Z39" s="40">
        <f t="shared" si="18"/>
        <v>0</v>
      </c>
      <c r="AA39" s="40">
        <f t="shared" si="18"/>
        <v>0</v>
      </c>
      <c r="AB39" s="40">
        <f t="shared" si="18"/>
        <v>0</v>
      </c>
      <c r="AC39" s="40">
        <f t="shared" si="18"/>
        <v>0</v>
      </c>
      <c r="AD39" s="40">
        <f t="shared" si="18"/>
        <v>0</v>
      </c>
      <c r="AE39" s="40">
        <f t="shared" si="18"/>
        <v>0</v>
      </c>
      <c r="AF39" s="40">
        <f t="shared" si="18"/>
        <v>0</v>
      </c>
      <c r="AG39" s="40">
        <f t="shared" si="18"/>
        <v>0</v>
      </c>
      <c r="AH39" s="40">
        <f t="shared" si="18"/>
        <v>0</v>
      </c>
    </row>
    <row r="40" spans="1:34" ht="31.5" hidden="1">
      <c r="A40" s="41" t="s">
        <v>218</v>
      </c>
      <c r="B40" s="73">
        <v>1721</v>
      </c>
      <c r="C40" s="73">
        <v>510</v>
      </c>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row>
    <row r="41" spans="1:34" s="93" customFormat="1" ht="30.75" customHeight="1">
      <c r="A41" s="65" t="s">
        <v>220</v>
      </c>
      <c r="B41" s="73">
        <v>2000</v>
      </c>
      <c r="C41" s="73" t="s">
        <v>203</v>
      </c>
      <c r="D41" s="40">
        <f aca="true" t="shared" si="19" ref="D41:AH41">D42+D47+D52+D57+D59+D61</f>
        <v>8439610.8</v>
      </c>
      <c r="E41" s="40">
        <f t="shared" si="19"/>
        <v>1572480</v>
      </c>
      <c r="F41" s="40">
        <f t="shared" si="19"/>
        <v>0</v>
      </c>
      <c r="G41" s="40">
        <f t="shared" si="19"/>
        <v>246240</v>
      </c>
      <c r="H41" s="40">
        <f>H42+H47+H52+H57+H59+H61</f>
        <v>426000</v>
      </c>
      <c r="I41" s="40">
        <f t="shared" si="19"/>
        <v>150000</v>
      </c>
      <c r="J41" s="40">
        <f aca="true" t="shared" si="20" ref="J41:P41">J42+J47+J52+J57+J59+J61</f>
        <v>1900</v>
      </c>
      <c r="K41" s="40">
        <f t="shared" si="20"/>
        <v>11328.75</v>
      </c>
      <c r="L41" s="40">
        <f t="shared" si="20"/>
        <v>374976</v>
      </c>
      <c r="M41" s="40">
        <f t="shared" si="20"/>
        <v>37100</v>
      </c>
      <c r="N41" s="40">
        <f t="shared" si="20"/>
        <v>543715.2</v>
      </c>
      <c r="O41" s="40">
        <f>O42+O47+O52+O57+O59+O61</f>
        <v>38000</v>
      </c>
      <c r="P41" s="40">
        <f t="shared" si="20"/>
        <v>3000</v>
      </c>
      <c r="Q41" s="40">
        <f>Q42+Q47+Q52+Q57+Q59+Q61</f>
        <v>1600</v>
      </c>
      <c r="R41" s="40">
        <f t="shared" si="19"/>
        <v>0</v>
      </c>
      <c r="S41" s="40">
        <f t="shared" si="19"/>
        <v>2054399.76</v>
      </c>
      <c r="T41" s="40">
        <f>T42+T47+T52+T57+T59+T61</f>
        <v>1096100</v>
      </c>
      <c r="U41" s="40">
        <f>U42+U47+U52+U57+U59+U61</f>
        <v>270058.08999999997</v>
      </c>
      <c r="V41" s="40">
        <f>V42+V47+V52+V57+V59+V61</f>
        <v>21426.12</v>
      </c>
      <c r="W41" s="40">
        <f t="shared" si="19"/>
        <v>0</v>
      </c>
      <c r="X41" s="40">
        <f t="shared" si="19"/>
        <v>85700</v>
      </c>
      <c r="Y41" s="40">
        <f>Y42+Y47+Y52+Y57+Y59+Y61</f>
        <v>18660</v>
      </c>
      <c r="Z41" s="40">
        <f t="shared" si="19"/>
        <v>300000</v>
      </c>
      <c r="AA41" s="40">
        <f t="shared" si="19"/>
        <v>10000</v>
      </c>
      <c r="AB41" s="40">
        <f t="shared" si="19"/>
        <v>0</v>
      </c>
      <c r="AC41" s="40">
        <f t="shared" si="19"/>
        <v>895776</v>
      </c>
      <c r="AD41" s="40">
        <f t="shared" si="19"/>
        <v>24161.079999999998</v>
      </c>
      <c r="AE41" s="40">
        <f t="shared" si="19"/>
        <v>9935.3</v>
      </c>
      <c r="AF41" s="40">
        <f t="shared" si="19"/>
        <v>247054.5</v>
      </c>
      <c r="AG41" s="40">
        <f t="shared" si="19"/>
        <v>0</v>
      </c>
      <c r="AH41" s="40">
        <f t="shared" si="19"/>
        <v>0</v>
      </c>
    </row>
    <row r="42" spans="1:34" s="93" customFormat="1" ht="31.5">
      <c r="A42" s="28" t="s">
        <v>221</v>
      </c>
      <c r="B42" s="73">
        <v>2100</v>
      </c>
      <c r="C42" s="73" t="s">
        <v>203</v>
      </c>
      <c r="D42" s="40">
        <f aca="true" t="shared" si="21" ref="D42:AH42">D43+D44+D45+D46</f>
        <v>5966443.6</v>
      </c>
      <c r="E42" s="40">
        <f t="shared" si="21"/>
        <v>0</v>
      </c>
      <c r="F42" s="40">
        <f t="shared" si="21"/>
        <v>0</v>
      </c>
      <c r="G42" s="40">
        <f t="shared" si="21"/>
        <v>0</v>
      </c>
      <c r="H42" s="40">
        <f>H43+H44+H45+H46</f>
        <v>426000</v>
      </c>
      <c r="I42" s="40">
        <f t="shared" si="21"/>
        <v>0</v>
      </c>
      <c r="J42" s="40">
        <f aca="true" t="shared" si="22" ref="J42:P42">J43+J44+J45+J46</f>
        <v>0</v>
      </c>
      <c r="K42" s="40">
        <f t="shared" si="22"/>
        <v>11328.75</v>
      </c>
      <c r="L42" s="40">
        <f t="shared" si="22"/>
        <v>374976</v>
      </c>
      <c r="M42" s="40">
        <f t="shared" si="22"/>
        <v>37100</v>
      </c>
      <c r="N42" s="40">
        <f t="shared" si="22"/>
        <v>543715.2</v>
      </c>
      <c r="O42" s="40">
        <f>O43+O44+O45+O46</f>
        <v>0</v>
      </c>
      <c r="P42" s="40">
        <f t="shared" si="22"/>
        <v>0</v>
      </c>
      <c r="Q42" s="40">
        <f>Q43+Q44+Q45+Q46</f>
        <v>0</v>
      </c>
      <c r="R42" s="40">
        <f t="shared" si="21"/>
        <v>0</v>
      </c>
      <c r="S42" s="40">
        <f t="shared" si="21"/>
        <v>2054399.76</v>
      </c>
      <c r="T42" s="40">
        <f>T43+T44+T45+T46</f>
        <v>1096100</v>
      </c>
      <c r="U42" s="40">
        <f>U43+U44+U45+U46</f>
        <v>270058.08999999997</v>
      </c>
      <c r="V42" s="40">
        <f>V43+V44+V45+V46</f>
        <v>0</v>
      </c>
      <c r="W42" s="40">
        <f t="shared" si="21"/>
        <v>0</v>
      </c>
      <c r="X42" s="40">
        <f t="shared" si="21"/>
        <v>0</v>
      </c>
      <c r="Y42" s="40">
        <f>Y43+Y44+Y45+Y46</f>
        <v>0</v>
      </c>
      <c r="Z42" s="40">
        <f t="shared" si="21"/>
        <v>0</v>
      </c>
      <c r="AA42" s="40">
        <f t="shared" si="21"/>
        <v>0</v>
      </c>
      <c r="AB42" s="40">
        <f t="shared" si="21"/>
        <v>0</v>
      </c>
      <c r="AC42" s="40">
        <f t="shared" si="21"/>
        <v>895776</v>
      </c>
      <c r="AD42" s="40">
        <f t="shared" si="21"/>
        <v>0</v>
      </c>
      <c r="AE42" s="40">
        <f t="shared" si="21"/>
        <v>9935.3</v>
      </c>
      <c r="AF42" s="40">
        <f t="shared" si="21"/>
        <v>247054.5</v>
      </c>
      <c r="AG42" s="40">
        <f t="shared" si="21"/>
        <v>0</v>
      </c>
      <c r="AH42" s="40">
        <f t="shared" si="21"/>
        <v>0</v>
      </c>
    </row>
    <row r="43" spans="1:34" ht="35.25" customHeight="1">
      <c r="A43" s="36" t="s">
        <v>222</v>
      </c>
      <c r="B43" s="73">
        <v>2110</v>
      </c>
      <c r="C43" s="73">
        <v>111</v>
      </c>
      <c r="D43" s="40">
        <f>SUM(E43:AH43)</f>
        <v>4226839.04</v>
      </c>
      <c r="E43" s="40"/>
      <c r="F43" s="40"/>
      <c r="G43" s="40"/>
      <c r="H43" s="40"/>
      <c r="I43" s="40"/>
      <c r="J43" s="40"/>
      <c r="K43" s="40">
        <v>8701.04</v>
      </c>
      <c r="L43" s="40">
        <f>L30/1.302</f>
        <v>288000</v>
      </c>
      <c r="M43" s="40"/>
      <c r="N43" s="40">
        <v>417600</v>
      </c>
      <c r="O43" s="40"/>
      <c r="P43" s="40"/>
      <c r="Q43" s="40"/>
      <c r="R43" s="40"/>
      <c r="S43" s="40">
        <f>S30/1.302</f>
        <v>1577880</v>
      </c>
      <c r="T43" s="40">
        <v>841859</v>
      </c>
      <c r="U43" s="40">
        <v>207418</v>
      </c>
      <c r="V43" s="40"/>
      <c r="W43" s="40"/>
      <c r="X43" s="40"/>
      <c r="Y43" s="40"/>
      <c r="Z43" s="40"/>
      <c r="AA43" s="40"/>
      <c r="AB43" s="40"/>
      <c r="AC43" s="40">
        <f>AC30/1.302</f>
        <v>688000</v>
      </c>
      <c r="AD43" s="40"/>
      <c r="AE43" s="40">
        <v>7631</v>
      </c>
      <c r="AF43" s="40">
        <f>195500-5750</f>
        <v>189750</v>
      </c>
      <c r="AG43" s="40"/>
      <c r="AH43" s="40"/>
    </row>
    <row r="44" spans="1:34" ht="31.5" customHeight="1">
      <c r="A44" s="36" t="s">
        <v>73</v>
      </c>
      <c r="B44" s="73">
        <v>2120</v>
      </c>
      <c r="C44" s="73">
        <v>112</v>
      </c>
      <c r="D44" s="40">
        <f>SUM(E44:AH44)</f>
        <v>463100</v>
      </c>
      <c r="E44" s="40"/>
      <c r="F44" s="52"/>
      <c r="G44" s="40"/>
      <c r="H44" s="40">
        <v>426000</v>
      </c>
      <c r="I44" s="40"/>
      <c r="J44" s="40"/>
      <c r="K44" s="40"/>
      <c r="L44" s="40"/>
      <c r="M44" s="40">
        <f>30400+6700</f>
        <v>37100</v>
      </c>
      <c r="N44" s="40"/>
      <c r="O44" s="40"/>
      <c r="P44" s="40"/>
      <c r="Q44" s="40"/>
      <c r="R44" s="40"/>
      <c r="S44" s="40"/>
      <c r="T44" s="40"/>
      <c r="U44" s="40"/>
      <c r="V44" s="40"/>
      <c r="W44" s="40"/>
      <c r="X44" s="40"/>
      <c r="Y44" s="40"/>
      <c r="Z44" s="40"/>
      <c r="AA44" s="40"/>
      <c r="AB44" s="40"/>
      <c r="AC44" s="40"/>
      <c r="AD44" s="40"/>
      <c r="AE44" s="40"/>
      <c r="AF44" s="40"/>
      <c r="AG44" s="40"/>
      <c r="AH44" s="40"/>
    </row>
    <row r="45" spans="1:34" ht="37.5" customHeight="1" hidden="1">
      <c r="A45" s="36" t="s">
        <v>74</v>
      </c>
      <c r="B45" s="73">
        <v>2130</v>
      </c>
      <c r="C45" s="73">
        <v>113</v>
      </c>
      <c r="D45" s="40">
        <f>SUM(E45:AH45)</f>
        <v>0</v>
      </c>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row>
    <row r="46" spans="1:34" ht="38.25" customHeight="1">
      <c r="A46" s="36" t="s">
        <v>223</v>
      </c>
      <c r="B46" s="73">
        <v>2140</v>
      </c>
      <c r="C46" s="73">
        <v>119</v>
      </c>
      <c r="D46" s="40">
        <f>SUM(E46:AH46)</f>
        <v>1276504.56</v>
      </c>
      <c r="E46" s="40"/>
      <c r="F46" s="40"/>
      <c r="G46" s="40"/>
      <c r="H46" s="40"/>
      <c r="I46" s="40"/>
      <c r="J46" s="40"/>
      <c r="K46" s="40">
        <v>2627.71</v>
      </c>
      <c r="L46" s="40">
        <f>L30-L43</f>
        <v>86976</v>
      </c>
      <c r="M46" s="40"/>
      <c r="N46" s="40">
        <v>126115.2</v>
      </c>
      <c r="O46" s="40"/>
      <c r="P46" s="40"/>
      <c r="Q46" s="40"/>
      <c r="R46" s="40"/>
      <c r="S46" s="40">
        <f>S30-S43</f>
        <v>476519.76</v>
      </c>
      <c r="T46" s="40">
        <v>254241</v>
      </c>
      <c r="U46" s="40">
        <v>62640.09</v>
      </c>
      <c r="V46" s="40"/>
      <c r="W46" s="40"/>
      <c r="X46" s="40"/>
      <c r="Y46" s="40"/>
      <c r="Z46" s="40"/>
      <c r="AA46" s="40"/>
      <c r="AB46" s="40"/>
      <c r="AC46" s="40">
        <f>AC30-AC43</f>
        <v>207776</v>
      </c>
      <c r="AD46" s="40"/>
      <c r="AE46" s="40">
        <v>2304.3</v>
      </c>
      <c r="AF46" s="40">
        <f>59041-1736.5</f>
        <v>57304.5</v>
      </c>
      <c r="AG46" s="40"/>
      <c r="AH46" s="40"/>
    </row>
    <row r="47" spans="1:34" s="93" customFormat="1" ht="25.5" customHeight="1">
      <c r="A47" s="28" t="s">
        <v>224</v>
      </c>
      <c r="B47" s="73">
        <v>2200</v>
      </c>
      <c r="C47" s="73">
        <v>300</v>
      </c>
      <c r="D47" s="40">
        <f>D48+D49+D51+D50</f>
        <v>86587.2</v>
      </c>
      <c r="E47" s="40">
        <f>E48+E49+E51</f>
        <v>0</v>
      </c>
      <c r="F47" s="40">
        <f aca="true" t="shared" si="23" ref="F47:AH47">F48+F49+F51</f>
        <v>0</v>
      </c>
      <c r="G47" s="40">
        <f t="shared" si="23"/>
        <v>0</v>
      </c>
      <c r="H47" s="40">
        <f>H48+H49+H51</f>
        <v>0</v>
      </c>
      <c r="I47" s="40">
        <f t="shared" si="23"/>
        <v>0</v>
      </c>
      <c r="J47" s="40">
        <f t="shared" si="23"/>
        <v>0</v>
      </c>
      <c r="K47" s="40">
        <f>K48+K49+K51</f>
        <v>0</v>
      </c>
      <c r="L47" s="40">
        <f>L48+L49+L51</f>
        <v>0</v>
      </c>
      <c r="M47" s="40">
        <f>M48+M49+M51</f>
        <v>0</v>
      </c>
      <c r="N47" s="40">
        <f>N48+N49+N51</f>
        <v>0</v>
      </c>
      <c r="O47" s="40">
        <f>O48+O49+O50+O51</f>
        <v>38000</v>
      </c>
      <c r="P47" s="40">
        <f>P48+P49+P50+P51</f>
        <v>3000</v>
      </c>
      <c r="Q47" s="40">
        <f>Q48+Q49+Q50+Q51</f>
        <v>0</v>
      </c>
      <c r="R47" s="40">
        <f t="shared" si="23"/>
        <v>0</v>
      </c>
      <c r="S47" s="40">
        <f t="shared" si="23"/>
        <v>0</v>
      </c>
      <c r="T47" s="40">
        <f>T48+T49+T51</f>
        <v>0</v>
      </c>
      <c r="U47" s="40">
        <f t="shared" si="23"/>
        <v>0</v>
      </c>
      <c r="V47" s="40">
        <f t="shared" si="23"/>
        <v>21426.12</v>
      </c>
      <c r="W47" s="40">
        <f>W48+W49+W51</f>
        <v>0</v>
      </c>
      <c r="X47" s="40">
        <f t="shared" si="23"/>
        <v>0</v>
      </c>
      <c r="Y47" s="40">
        <f>Y48+Y49+Y51</f>
        <v>0</v>
      </c>
      <c r="Z47" s="40">
        <f t="shared" si="23"/>
        <v>0</v>
      </c>
      <c r="AA47" s="40">
        <f t="shared" si="23"/>
        <v>0</v>
      </c>
      <c r="AB47" s="40">
        <f t="shared" si="23"/>
        <v>0</v>
      </c>
      <c r="AC47" s="40">
        <f t="shared" si="23"/>
        <v>0</v>
      </c>
      <c r="AD47" s="40">
        <f>AD48+AD49+AD51</f>
        <v>24161.079999999998</v>
      </c>
      <c r="AE47" s="40">
        <f t="shared" si="23"/>
        <v>0</v>
      </c>
      <c r="AF47" s="40">
        <f t="shared" si="23"/>
        <v>0</v>
      </c>
      <c r="AG47" s="40">
        <f t="shared" si="23"/>
        <v>0</v>
      </c>
      <c r="AH47" s="40">
        <f t="shared" si="23"/>
        <v>0</v>
      </c>
    </row>
    <row r="48" spans="1:34" ht="34.5" customHeight="1" hidden="1">
      <c r="A48" s="37" t="s">
        <v>225</v>
      </c>
      <c r="B48" s="73">
        <v>2210</v>
      </c>
      <c r="C48" s="73">
        <v>320</v>
      </c>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row>
    <row r="49" spans="1:34" ht="36.75" customHeight="1">
      <c r="A49" s="36" t="s">
        <v>75</v>
      </c>
      <c r="B49" s="73">
        <v>2220</v>
      </c>
      <c r="C49" s="73">
        <v>321</v>
      </c>
      <c r="D49" s="40">
        <f>SUM(E49:AH49)</f>
        <v>45587.2</v>
      </c>
      <c r="E49" s="40"/>
      <c r="F49" s="40"/>
      <c r="G49" s="40"/>
      <c r="H49" s="40"/>
      <c r="I49" s="40"/>
      <c r="J49" s="40"/>
      <c r="K49" s="40"/>
      <c r="L49" s="40"/>
      <c r="M49" s="40"/>
      <c r="N49" s="40"/>
      <c r="O49" s="40"/>
      <c r="P49" s="40"/>
      <c r="Q49" s="40"/>
      <c r="R49" s="40"/>
      <c r="S49" s="40"/>
      <c r="T49" s="40"/>
      <c r="U49" s="40"/>
      <c r="V49" s="40">
        <f>14950.65+6475.47</f>
        <v>21426.12</v>
      </c>
      <c r="W49" s="40"/>
      <c r="X49" s="40"/>
      <c r="Y49" s="40"/>
      <c r="Z49" s="40"/>
      <c r="AA49" s="40"/>
      <c r="AB49" s="40"/>
      <c r="AC49" s="40"/>
      <c r="AD49" s="40">
        <f>16859.03+7302.05</f>
        <v>24161.079999999998</v>
      </c>
      <c r="AE49" s="40"/>
      <c r="AF49" s="40"/>
      <c r="AG49" s="40"/>
      <c r="AH49" s="40"/>
    </row>
    <row r="50" spans="1:62" s="269" customFormat="1" ht="36.75" customHeight="1">
      <c r="A50" s="36" t="s">
        <v>482</v>
      </c>
      <c r="B50" s="31">
        <v>2230</v>
      </c>
      <c r="C50" s="31">
        <v>323</v>
      </c>
      <c r="D50" s="40">
        <f>SUM(E50:BJ50)</f>
        <v>41000</v>
      </c>
      <c r="E50" s="40"/>
      <c r="F50" s="40"/>
      <c r="G50" s="40"/>
      <c r="H50" s="40"/>
      <c r="I50" s="40"/>
      <c r="J50" s="40"/>
      <c r="K50" s="40"/>
      <c r="L50" s="40"/>
      <c r="M50" s="40"/>
      <c r="N50" s="40"/>
      <c r="O50" s="40">
        <v>38000</v>
      </c>
      <c r="P50" s="40">
        <v>3000</v>
      </c>
      <c r="Q50" s="40"/>
      <c r="R50" s="40"/>
      <c r="S50" s="40"/>
      <c r="T50" s="40"/>
      <c r="U50" s="40"/>
      <c r="V50" s="95"/>
      <c r="W50" s="40"/>
      <c r="X50" s="40"/>
      <c r="Y50" s="40"/>
      <c r="Z50" s="40"/>
      <c r="AA50" s="40"/>
      <c r="AB50" s="40"/>
      <c r="AC50" s="40">
        <f>60000-60000</f>
        <v>0</v>
      </c>
      <c r="AD50" s="40"/>
      <c r="AE50" s="95"/>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row>
    <row r="51" spans="1:34" ht="36.75" customHeight="1">
      <c r="A51" s="36" t="s">
        <v>303</v>
      </c>
      <c r="B51" s="73">
        <v>2220</v>
      </c>
      <c r="C51" s="73">
        <v>350</v>
      </c>
      <c r="D51" s="40">
        <f>SUM(E51:AH51)</f>
        <v>0</v>
      </c>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row>
    <row r="52" spans="1:34" s="93" customFormat="1" ht="26.25" customHeight="1" hidden="1">
      <c r="A52" s="28" t="s">
        <v>226</v>
      </c>
      <c r="B52" s="73">
        <v>2300</v>
      </c>
      <c r="C52" s="73">
        <v>850</v>
      </c>
      <c r="D52" s="40">
        <f aca="true" t="shared" si="24" ref="D52:AH52">D53+D54+D55+D56</f>
        <v>0</v>
      </c>
      <c r="E52" s="40">
        <f t="shared" si="24"/>
        <v>0</v>
      </c>
      <c r="F52" s="40">
        <f t="shared" si="24"/>
        <v>0</v>
      </c>
      <c r="G52" s="40">
        <f t="shared" si="24"/>
        <v>0</v>
      </c>
      <c r="H52" s="40">
        <f>H53+H54+H55+H56</f>
        <v>0</v>
      </c>
      <c r="I52" s="40">
        <f t="shared" si="24"/>
        <v>0</v>
      </c>
      <c r="J52" s="40">
        <f aca="true" t="shared" si="25" ref="J52:Q52">J53+J54+J55+J56</f>
        <v>0</v>
      </c>
      <c r="K52" s="40">
        <f t="shared" si="25"/>
        <v>0</v>
      </c>
      <c r="L52" s="40">
        <f t="shared" si="25"/>
        <v>0</v>
      </c>
      <c r="M52" s="40">
        <f t="shared" si="25"/>
        <v>0</v>
      </c>
      <c r="N52" s="40">
        <f t="shared" si="25"/>
        <v>0</v>
      </c>
      <c r="O52" s="40">
        <f>O53+O54+O55+O56</f>
        <v>0</v>
      </c>
      <c r="P52" s="40">
        <f t="shared" si="25"/>
        <v>0</v>
      </c>
      <c r="Q52" s="40">
        <f t="shared" si="25"/>
        <v>0</v>
      </c>
      <c r="R52" s="40">
        <f t="shared" si="24"/>
        <v>0</v>
      </c>
      <c r="S52" s="40">
        <f t="shared" si="24"/>
        <v>0</v>
      </c>
      <c r="T52" s="40">
        <f>T53+T54+T55+T56</f>
        <v>0</v>
      </c>
      <c r="U52" s="40">
        <f>U53+U54+U55+U56</f>
        <v>0</v>
      </c>
      <c r="V52" s="40">
        <f>V53+V54+V55+V56</f>
        <v>0</v>
      </c>
      <c r="W52" s="40">
        <f t="shared" si="24"/>
        <v>0</v>
      </c>
      <c r="X52" s="40">
        <f t="shared" si="24"/>
        <v>0</v>
      </c>
      <c r="Y52" s="40">
        <f>Y53+Y54+Y55+Y56</f>
        <v>0</v>
      </c>
      <c r="Z52" s="40">
        <f t="shared" si="24"/>
        <v>0</v>
      </c>
      <c r="AA52" s="40">
        <f t="shared" si="24"/>
        <v>0</v>
      </c>
      <c r="AB52" s="40">
        <f t="shared" si="24"/>
        <v>0</v>
      </c>
      <c r="AC52" s="40">
        <f t="shared" si="24"/>
        <v>0</v>
      </c>
      <c r="AD52" s="40">
        <f t="shared" si="24"/>
        <v>0</v>
      </c>
      <c r="AE52" s="40">
        <f t="shared" si="24"/>
        <v>0</v>
      </c>
      <c r="AF52" s="40">
        <f t="shared" si="24"/>
        <v>0</v>
      </c>
      <c r="AG52" s="40">
        <f t="shared" si="24"/>
        <v>0</v>
      </c>
      <c r="AH52" s="40">
        <f t="shared" si="24"/>
        <v>0</v>
      </c>
    </row>
    <row r="53" spans="1:34" ht="34.5" customHeight="1" hidden="1">
      <c r="A53" s="36" t="s">
        <v>228</v>
      </c>
      <c r="B53" s="73">
        <v>2310</v>
      </c>
      <c r="C53" s="73">
        <v>851</v>
      </c>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row>
    <row r="54" spans="1:34" ht="24" customHeight="1" hidden="1">
      <c r="A54" s="36" t="s">
        <v>76</v>
      </c>
      <c r="B54" s="73">
        <v>2320</v>
      </c>
      <c r="C54" s="73">
        <v>852</v>
      </c>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row>
    <row r="55" spans="1:34" ht="39" customHeight="1" hidden="1">
      <c r="A55" s="36" t="s">
        <v>227</v>
      </c>
      <c r="B55" s="73">
        <v>2330</v>
      </c>
      <c r="C55" s="73">
        <v>852</v>
      </c>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row>
    <row r="56" spans="1:34" ht="22.5" customHeight="1" hidden="1">
      <c r="A56" s="36" t="s">
        <v>229</v>
      </c>
      <c r="B56" s="73">
        <v>2340</v>
      </c>
      <c r="C56" s="73">
        <v>853</v>
      </c>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row>
    <row r="57" spans="1:34" s="93" customFormat="1" ht="22.5" customHeight="1" hidden="1">
      <c r="A57" s="28" t="s">
        <v>231</v>
      </c>
      <c r="B57" s="73">
        <v>2400</v>
      </c>
      <c r="C57" s="73" t="s">
        <v>203</v>
      </c>
      <c r="D57" s="40">
        <f aca="true" t="shared" si="26" ref="D57:AH57">D58</f>
        <v>0</v>
      </c>
      <c r="E57" s="40">
        <f t="shared" si="26"/>
        <v>0</v>
      </c>
      <c r="F57" s="40">
        <f t="shared" si="26"/>
        <v>0</v>
      </c>
      <c r="G57" s="40">
        <f t="shared" si="26"/>
        <v>0</v>
      </c>
      <c r="H57" s="40">
        <f t="shared" si="26"/>
        <v>0</v>
      </c>
      <c r="I57" s="40">
        <f t="shared" si="26"/>
        <v>0</v>
      </c>
      <c r="J57" s="40">
        <f t="shared" si="26"/>
        <v>0</v>
      </c>
      <c r="K57" s="40">
        <f t="shared" si="26"/>
        <v>0</v>
      </c>
      <c r="L57" s="40">
        <f t="shared" si="26"/>
        <v>0</v>
      </c>
      <c r="M57" s="40">
        <f t="shared" si="26"/>
        <v>0</v>
      </c>
      <c r="N57" s="40">
        <f t="shared" si="26"/>
        <v>0</v>
      </c>
      <c r="O57" s="40">
        <f t="shared" si="26"/>
        <v>0</v>
      </c>
      <c r="P57" s="40">
        <f t="shared" si="26"/>
        <v>0</v>
      </c>
      <c r="Q57" s="40">
        <f t="shared" si="26"/>
        <v>0</v>
      </c>
      <c r="R57" s="40">
        <f t="shared" si="26"/>
        <v>0</v>
      </c>
      <c r="S57" s="40">
        <f t="shared" si="26"/>
        <v>0</v>
      </c>
      <c r="T57" s="40">
        <f t="shared" si="26"/>
        <v>0</v>
      </c>
      <c r="U57" s="40">
        <f t="shared" si="26"/>
        <v>0</v>
      </c>
      <c r="V57" s="40">
        <f t="shared" si="26"/>
        <v>0</v>
      </c>
      <c r="W57" s="40">
        <f t="shared" si="26"/>
        <v>0</v>
      </c>
      <c r="X57" s="40">
        <f t="shared" si="26"/>
        <v>0</v>
      </c>
      <c r="Y57" s="40">
        <f t="shared" si="26"/>
        <v>0</v>
      </c>
      <c r="Z57" s="40">
        <f t="shared" si="26"/>
        <v>0</v>
      </c>
      <c r="AA57" s="40">
        <f t="shared" si="26"/>
        <v>0</v>
      </c>
      <c r="AB57" s="40">
        <f t="shared" si="26"/>
        <v>0</v>
      </c>
      <c r="AC57" s="40">
        <f t="shared" si="26"/>
        <v>0</v>
      </c>
      <c r="AD57" s="40">
        <f t="shared" si="26"/>
        <v>0</v>
      </c>
      <c r="AE57" s="40">
        <f t="shared" si="26"/>
        <v>0</v>
      </c>
      <c r="AF57" s="40">
        <f t="shared" si="26"/>
        <v>0</v>
      </c>
      <c r="AG57" s="40">
        <f t="shared" si="26"/>
        <v>0</v>
      </c>
      <c r="AH57" s="40">
        <f t="shared" si="26"/>
        <v>0</v>
      </c>
    </row>
    <row r="58" spans="1:34" ht="39.75" customHeight="1" hidden="1">
      <c r="A58" s="36" t="s">
        <v>230</v>
      </c>
      <c r="B58" s="73">
        <v>2410</v>
      </c>
      <c r="C58" s="73">
        <v>613</v>
      </c>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row>
    <row r="59" spans="1:34" s="93" customFormat="1" ht="24" customHeight="1" hidden="1">
      <c r="A59" s="35" t="s">
        <v>232</v>
      </c>
      <c r="B59" s="73">
        <v>2500</v>
      </c>
      <c r="C59" s="73" t="s">
        <v>203</v>
      </c>
      <c r="D59" s="40">
        <f aca="true" t="shared" si="27" ref="D59:AH59">D60</f>
        <v>0</v>
      </c>
      <c r="E59" s="40">
        <f t="shared" si="27"/>
        <v>0</v>
      </c>
      <c r="F59" s="40">
        <f t="shared" si="27"/>
        <v>0</v>
      </c>
      <c r="G59" s="40">
        <f t="shared" si="27"/>
        <v>0</v>
      </c>
      <c r="H59" s="40">
        <f t="shared" si="27"/>
        <v>0</v>
      </c>
      <c r="I59" s="40">
        <f t="shared" si="27"/>
        <v>0</v>
      </c>
      <c r="J59" s="40">
        <f t="shared" si="27"/>
        <v>0</v>
      </c>
      <c r="K59" s="40">
        <f t="shared" si="27"/>
        <v>0</v>
      </c>
      <c r="L59" s="40">
        <f t="shared" si="27"/>
        <v>0</v>
      </c>
      <c r="M59" s="40">
        <f t="shared" si="27"/>
        <v>0</v>
      </c>
      <c r="N59" s="40">
        <f t="shared" si="27"/>
        <v>0</v>
      </c>
      <c r="O59" s="40">
        <f t="shared" si="27"/>
        <v>0</v>
      </c>
      <c r="P59" s="40">
        <f t="shared" si="27"/>
        <v>0</v>
      </c>
      <c r="Q59" s="40">
        <f t="shared" si="27"/>
        <v>0</v>
      </c>
      <c r="R59" s="40">
        <f t="shared" si="27"/>
        <v>0</v>
      </c>
      <c r="S59" s="40">
        <f t="shared" si="27"/>
        <v>0</v>
      </c>
      <c r="T59" s="40">
        <f t="shared" si="27"/>
        <v>0</v>
      </c>
      <c r="U59" s="40">
        <f t="shared" si="27"/>
        <v>0</v>
      </c>
      <c r="V59" s="40">
        <f t="shared" si="27"/>
        <v>0</v>
      </c>
      <c r="W59" s="40">
        <f t="shared" si="27"/>
        <v>0</v>
      </c>
      <c r="X59" s="40">
        <f t="shared" si="27"/>
        <v>0</v>
      </c>
      <c r="Y59" s="40">
        <f t="shared" si="27"/>
        <v>0</v>
      </c>
      <c r="Z59" s="40">
        <f t="shared" si="27"/>
        <v>0</v>
      </c>
      <c r="AA59" s="40">
        <f t="shared" si="27"/>
        <v>0</v>
      </c>
      <c r="AB59" s="40">
        <f t="shared" si="27"/>
        <v>0</v>
      </c>
      <c r="AC59" s="40">
        <f t="shared" si="27"/>
        <v>0</v>
      </c>
      <c r="AD59" s="40">
        <f t="shared" si="27"/>
        <v>0</v>
      </c>
      <c r="AE59" s="40">
        <f t="shared" si="27"/>
        <v>0</v>
      </c>
      <c r="AF59" s="40">
        <f t="shared" si="27"/>
        <v>0</v>
      </c>
      <c r="AG59" s="40">
        <f t="shared" si="27"/>
        <v>0</v>
      </c>
      <c r="AH59" s="40">
        <f t="shared" si="27"/>
        <v>0</v>
      </c>
    </row>
    <row r="60" spans="1:34" ht="57" customHeight="1" hidden="1">
      <c r="A60" s="36" t="s">
        <v>233</v>
      </c>
      <c r="B60" s="73">
        <v>2510</v>
      </c>
      <c r="C60" s="73">
        <v>831</v>
      </c>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row>
    <row r="61" spans="1:34" s="93" customFormat="1" ht="29.25" customHeight="1">
      <c r="A61" s="28" t="s">
        <v>234</v>
      </c>
      <c r="B61" s="73">
        <v>2600</v>
      </c>
      <c r="C61" s="73" t="s">
        <v>203</v>
      </c>
      <c r="D61" s="40">
        <f aca="true" t="shared" si="28" ref="D61:AH61">D62+D63+D64+D65+D84</f>
        <v>2386580</v>
      </c>
      <c r="E61" s="40">
        <f t="shared" si="28"/>
        <v>1572480</v>
      </c>
      <c r="F61" s="40">
        <f t="shared" si="28"/>
        <v>0</v>
      </c>
      <c r="G61" s="40">
        <f t="shared" si="28"/>
        <v>246240</v>
      </c>
      <c r="H61" s="40">
        <f>H62+H63+H64+H65+H84</f>
        <v>0</v>
      </c>
      <c r="I61" s="40">
        <f t="shared" si="28"/>
        <v>150000</v>
      </c>
      <c r="J61" s="40">
        <f t="shared" si="28"/>
        <v>1900</v>
      </c>
      <c r="K61" s="40">
        <f aca="true" t="shared" si="29" ref="K61:Q61">K62+K63+K64+K65+K84</f>
        <v>0</v>
      </c>
      <c r="L61" s="40">
        <f t="shared" si="29"/>
        <v>0</v>
      </c>
      <c r="M61" s="40">
        <f t="shared" si="29"/>
        <v>0</v>
      </c>
      <c r="N61" s="40">
        <f t="shared" si="29"/>
        <v>0</v>
      </c>
      <c r="O61" s="40">
        <f>O62+O63+O64+O65+O84</f>
        <v>0</v>
      </c>
      <c r="P61" s="40">
        <f t="shared" si="29"/>
        <v>0</v>
      </c>
      <c r="Q61" s="40">
        <f t="shared" si="29"/>
        <v>1600</v>
      </c>
      <c r="R61" s="40">
        <f t="shared" si="28"/>
        <v>0</v>
      </c>
      <c r="S61" s="40">
        <f t="shared" si="28"/>
        <v>0</v>
      </c>
      <c r="T61" s="40">
        <f>T62+T63+T64+T65+T84</f>
        <v>0</v>
      </c>
      <c r="U61" s="40">
        <f t="shared" si="28"/>
        <v>0</v>
      </c>
      <c r="V61" s="40">
        <f t="shared" si="28"/>
        <v>0</v>
      </c>
      <c r="W61" s="40">
        <f t="shared" si="28"/>
        <v>0</v>
      </c>
      <c r="X61" s="40">
        <f t="shared" si="28"/>
        <v>85700</v>
      </c>
      <c r="Y61" s="40">
        <f>Y62+Y63+Y64+Y65+Y84</f>
        <v>18660</v>
      </c>
      <c r="Z61" s="40">
        <f t="shared" si="28"/>
        <v>300000</v>
      </c>
      <c r="AA61" s="40">
        <f t="shared" si="28"/>
        <v>10000</v>
      </c>
      <c r="AB61" s="40">
        <f t="shared" si="28"/>
        <v>0</v>
      </c>
      <c r="AC61" s="40">
        <f t="shared" si="28"/>
        <v>0</v>
      </c>
      <c r="AD61" s="40">
        <f>AD62+AD63+AD64+AD65+AD84</f>
        <v>0</v>
      </c>
      <c r="AE61" s="40">
        <f t="shared" si="28"/>
        <v>0</v>
      </c>
      <c r="AF61" s="40">
        <f t="shared" si="28"/>
        <v>0</v>
      </c>
      <c r="AG61" s="40">
        <f t="shared" si="28"/>
        <v>0</v>
      </c>
      <c r="AH61" s="40">
        <f t="shared" si="28"/>
        <v>0</v>
      </c>
    </row>
    <row r="62" spans="1:34" ht="39.75" customHeight="1" hidden="1">
      <c r="A62" s="37" t="s">
        <v>235</v>
      </c>
      <c r="B62" s="73">
        <v>2610</v>
      </c>
      <c r="C62" s="73">
        <v>241</v>
      </c>
      <c r="D62" s="40">
        <f>SUM(E62:AH62)</f>
        <v>0</v>
      </c>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row>
    <row r="63" spans="1:34" ht="27.75" customHeight="1" hidden="1">
      <c r="A63" s="36" t="s">
        <v>236</v>
      </c>
      <c r="B63" s="73">
        <v>2620</v>
      </c>
      <c r="C63" s="73">
        <v>242</v>
      </c>
      <c r="D63" s="40">
        <f>SUM(E63:AH63)</f>
        <v>0</v>
      </c>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row>
    <row r="64" spans="1:34" ht="24.75" customHeight="1" hidden="1">
      <c r="A64" s="36" t="s">
        <v>238</v>
      </c>
      <c r="B64" s="73">
        <v>2630</v>
      </c>
      <c r="C64" s="73">
        <v>243</v>
      </c>
      <c r="D64" s="40">
        <f>SUM(E64:AH64)</f>
        <v>0</v>
      </c>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row>
    <row r="65" spans="1:34" ht="30.75" customHeight="1">
      <c r="A65" s="36" t="s">
        <v>239</v>
      </c>
      <c r="B65" s="73">
        <v>2640</v>
      </c>
      <c r="C65" s="73">
        <v>244</v>
      </c>
      <c r="D65" s="40">
        <f aca="true" t="shared" si="30" ref="D65:AH65">D66+D67+D68+D74+D77+D78+D80+D81+D82</f>
        <v>2386580</v>
      </c>
      <c r="E65" s="40">
        <f t="shared" si="30"/>
        <v>1572480</v>
      </c>
      <c r="F65" s="40">
        <f t="shared" si="30"/>
        <v>0</v>
      </c>
      <c r="G65" s="98">
        <f t="shared" si="30"/>
        <v>246240</v>
      </c>
      <c r="H65" s="40">
        <f>H66+H67+H68+H74+H77+H78+H80+H81+H82</f>
        <v>0</v>
      </c>
      <c r="I65" s="40">
        <f t="shared" si="30"/>
        <v>150000</v>
      </c>
      <c r="J65" s="40">
        <f t="shared" si="30"/>
        <v>1900</v>
      </c>
      <c r="K65" s="40">
        <f aca="true" t="shared" si="31" ref="K65:Q65">K66+K67+K68+K74+K77+K78+K80+K81+K82</f>
        <v>0</v>
      </c>
      <c r="L65" s="40">
        <f t="shared" si="31"/>
        <v>0</v>
      </c>
      <c r="M65" s="40">
        <f t="shared" si="31"/>
        <v>0</v>
      </c>
      <c r="N65" s="40">
        <f t="shared" si="31"/>
        <v>0</v>
      </c>
      <c r="O65" s="40">
        <f>O66+O67+O68+O74+O77+O78+O80+O81+O82</f>
        <v>0</v>
      </c>
      <c r="P65" s="40">
        <f t="shared" si="31"/>
        <v>0</v>
      </c>
      <c r="Q65" s="40">
        <f t="shared" si="31"/>
        <v>1600</v>
      </c>
      <c r="R65" s="40">
        <f t="shared" si="30"/>
        <v>0</v>
      </c>
      <c r="S65" s="40">
        <f t="shared" si="30"/>
        <v>0</v>
      </c>
      <c r="T65" s="40">
        <f>T66+T67+T68+T74+T77+T78+T80+T81+T82</f>
        <v>0</v>
      </c>
      <c r="U65" s="40">
        <f t="shared" si="30"/>
        <v>0</v>
      </c>
      <c r="V65" s="40">
        <f t="shared" si="30"/>
        <v>0</v>
      </c>
      <c r="W65" s="40">
        <f t="shared" si="30"/>
        <v>0</v>
      </c>
      <c r="X65" s="40">
        <f t="shared" si="30"/>
        <v>85700</v>
      </c>
      <c r="Y65" s="40">
        <f>Y66+Y67+Y68+Y74+Y77+Y78+Y80+Y81+Y82</f>
        <v>18660</v>
      </c>
      <c r="Z65" s="40">
        <f t="shared" si="30"/>
        <v>300000</v>
      </c>
      <c r="AA65" s="40">
        <f t="shared" si="30"/>
        <v>10000</v>
      </c>
      <c r="AB65" s="40">
        <f t="shared" si="30"/>
        <v>0</v>
      </c>
      <c r="AC65" s="40">
        <f t="shared" si="30"/>
        <v>0</v>
      </c>
      <c r="AD65" s="40">
        <f>AD66+AD67+AD68+AD74+AD77+AD78+AD80+AD81+AD82</f>
        <v>0</v>
      </c>
      <c r="AE65" s="40">
        <f t="shared" si="30"/>
        <v>0</v>
      </c>
      <c r="AF65" s="40">
        <f t="shared" si="30"/>
        <v>0</v>
      </c>
      <c r="AG65" s="40">
        <f t="shared" si="30"/>
        <v>0</v>
      </c>
      <c r="AH65" s="40">
        <f t="shared" si="30"/>
        <v>0</v>
      </c>
    </row>
    <row r="66" spans="1:34" ht="34.5" customHeight="1">
      <c r="A66" s="41" t="s">
        <v>237</v>
      </c>
      <c r="B66" s="73">
        <v>2641</v>
      </c>
      <c r="C66" s="73">
        <v>244</v>
      </c>
      <c r="D66" s="40">
        <f aca="true" t="shared" si="32" ref="D66:D84">SUM(E66:AH66)</f>
        <v>0</v>
      </c>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row>
    <row r="67" spans="1:34" ht="20.25" customHeight="1" hidden="1">
      <c r="A67" s="41" t="s">
        <v>77</v>
      </c>
      <c r="B67" s="73">
        <v>2642</v>
      </c>
      <c r="C67" s="73">
        <v>244</v>
      </c>
      <c r="D67" s="40">
        <f t="shared" si="32"/>
        <v>0</v>
      </c>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row>
    <row r="68" spans="1:34" ht="22.5" customHeight="1">
      <c r="A68" s="41" t="s">
        <v>78</v>
      </c>
      <c r="B68" s="73">
        <v>2643</v>
      </c>
      <c r="C68" s="73">
        <v>244</v>
      </c>
      <c r="D68" s="40">
        <f t="shared" si="32"/>
        <v>0</v>
      </c>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row>
    <row r="69" spans="1:34" ht="21" customHeight="1" hidden="1">
      <c r="A69" s="35" t="s">
        <v>14</v>
      </c>
      <c r="B69" s="73"/>
      <c r="C69" s="73"/>
      <c r="D69" s="40">
        <f t="shared" si="32"/>
        <v>0</v>
      </c>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row>
    <row r="70" spans="1:34" ht="28.5" customHeight="1" hidden="1">
      <c r="A70" s="33" t="s">
        <v>79</v>
      </c>
      <c r="B70" s="73"/>
      <c r="C70" s="73">
        <v>244</v>
      </c>
      <c r="D70" s="40">
        <f t="shared" si="32"/>
        <v>0</v>
      </c>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row>
    <row r="71" spans="1:34" ht="20.25" customHeight="1" hidden="1">
      <c r="A71" s="34" t="s">
        <v>80</v>
      </c>
      <c r="B71" s="73"/>
      <c r="C71" s="73">
        <v>244</v>
      </c>
      <c r="D71" s="40">
        <f t="shared" si="32"/>
        <v>0</v>
      </c>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row>
    <row r="72" spans="1:34" ht="28.5" customHeight="1" hidden="1">
      <c r="A72" s="34" t="s">
        <v>81</v>
      </c>
      <c r="B72" s="73"/>
      <c r="C72" s="73">
        <v>244</v>
      </c>
      <c r="D72" s="40">
        <f t="shared" si="32"/>
        <v>0</v>
      </c>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row>
    <row r="73" spans="1:34" ht="15.75" customHeight="1" hidden="1">
      <c r="A73" s="34" t="s">
        <v>82</v>
      </c>
      <c r="B73" s="73"/>
      <c r="C73" s="73">
        <v>244</v>
      </c>
      <c r="D73" s="40">
        <f t="shared" si="32"/>
        <v>0</v>
      </c>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row>
    <row r="74" spans="1:34" ht="24.75" customHeight="1" hidden="1">
      <c r="A74" s="41" t="s">
        <v>83</v>
      </c>
      <c r="B74" s="73">
        <v>2644</v>
      </c>
      <c r="C74" s="73">
        <v>244</v>
      </c>
      <c r="D74" s="40">
        <f t="shared" si="32"/>
        <v>0</v>
      </c>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row>
    <row r="75" spans="1:34" ht="33.75" customHeight="1" hidden="1">
      <c r="A75" s="43" t="s">
        <v>240</v>
      </c>
      <c r="B75" s="73"/>
      <c r="C75" s="73">
        <v>244</v>
      </c>
      <c r="D75" s="40">
        <f t="shared" si="32"/>
        <v>0</v>
      </c>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row>
    <row r="76" spans="1:34" ht="19.5" customHeight="1" hidden="1">
      <c r="A76" s="43" t="s">
        <v>84</v>
      </c>
      <c r="B76" s="73"/>
      <c r="C76" s="73">
        <v>244</v>
      </c>
      <c r="D76" s="40">
        <f t="shared" si="32"/>
        <v>0</v>
      </c>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row>
    <row r="77" spans="1:34" ht="22.5" customHeight="1">
      <c r="A77" s="41" t="s">
        <v>85</v>
      </c>
      <c r="B77" s="73">
        <v>2645</v>
      </c>
      <c r="C77" s="73">
        <v>244</v>
      </c>
      <c r="D77" s="40">
        <f t="shared" si="32"/>
        <v>10000</v>
      </c>
      <c r="E77" s="40"/>
      <c r="F77" s="40"/>
      <c r="G77" s="40"/>
      <c r="H77" s="40"/>
      <c r="I77" s="40"/>
      <c r="J77" s="40"/>
      <c r="K77" s="40"/>
      <c r="L77" s="40"/>
      <c r="M77" s="40"/>
      <c r="N77" s="40"/>
      <c r="O77" s="40"/>
      <c r="P77" s="40"/>
      <c r="Q77" s="40"/>
      <c r="R77" s="40"/>
      <c r="S77" s="40"/>
      <c r="T77" s="40"/>
      <c r="U77" s="40"/>
      <c r="V77" s="40"/>
      <c r="W77" s="40"/>
      <c r="X77" s="40"/>
      <c r="Y77" s="40"/>
      <c r="Z77" s="40"/>
      <c r="AA77" s="40">
        <v>10000</v>
      </c>
      <c r="AB77" s="40"/>
      <c r="AC77" s="40"/>
      <c r="AD77" s="40"/>
      <c r="AE77" s="40"/>
      <c r="AF77" s="40"/>
      <c r="AG77" s="40"/>
      <c r="AH77" s="40"/>
    </row>
    <row r="78" spans="1:34" ht="23.25" customHeight="1">
      <c r="A78" s="41" t="s">
        <v>86</v>
      </c>
      <c r="B78" s="73">
        <v>2646</v>
      </c>
      <c r="C78" s="73">
        <v>244</v>
      </c>
      <c r="D78" s="40">
        <f>SUM(E78:AH78)</f>
        <v>2139280</v>
      </c>
      <c r="E78" s="52">
        <f>905040+667440</f>
        <v>1572480</v>
      </c>
      <c r="F78" s="40"/>
      <c r="G78" s="96">
        <v>246240</v>
      </c>
      <c r="H78" s="40"/>
      <c r="I78" s="40"/>
      <c r="J78" s="40">
        <v>1900</v>
      </c>
      <c r="K78" s="40"/>
      <c r="L78" s="40"/>
      <c r="M78" s="40"/>
      <c r="N78" s="40"/>
      <c r="O78" s="40"/>
      <c r="P78" s="40"/>
      <c r="Q78" s="40"/>
      <c r="R78" s="40"/>
      <c r="S78" s="40"/>
      <c r="T78" s="40"/>
      <c r="U78" s="40"/>
      <c r="V78" s="40"/>
      <c r="W78" s="40"/>
      <c r="X78" s="40"/>
      <c r="Y78" s="40">
        <v>18660</v>
      </c>
      <c r="Z78" s="40">
        <v>300000</v>
      </c>
      <c r="AA78" s="40"/>
      <c r="AB78" s="40"/>
      <c r="AC78" s="40"/>
      <c r="AD78" s="40"/>
      <c r="AE78" s="40"/>
      <c r="AF78" s="40"/>
      <c r="AG78" s="40"/>
      <c r="AH78" s="40"/>
    </row>
    <row r="79" spans="1:34" ht="18.75" customHeight="1" hidden="1">
      <c r="A79" s="42" t="s">
        <v>87</v>
      </c>
      <c r="B79" s="73"/>
      <c r="C79" s="73">
        <v>244</v>
      </c>
      <c r="D79" s="40">
        <f t="shared" si="32"/>
        <v>0</v>
      </c>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row>
    <row r="80" spans="1:34" ht="33" customHeight="1">
      <c r="A80" s="41" t="s">
        <v>88</v>
      </c>
      <c r="B80" s="73">
        <v>2647</v>
      </c>
      <c r="C80" s="73">
        <v>244</v>
      </c>
      <c r="D80" s="40">
        <f t="shared" si="32"/>
        <v>235700</v>
      </c>
      <c r="E80" s="40"/>
      <c r="F80" s="40"/>
      <c r="G80" s="40"/>
      <c r="H80" s="40"/>
      <c r="I80" s="40">
        <v>150000</v>
      </c>
      <c r="J80" s="40"/>
      <c r="K80" s="40"/>
      <c r="L80" s="40"/>
      <c r="M80" s="40"/>
      <c r="N80" s="40"/>
      <c r="O80" s="40"/>
      <c r="P80" s="40"/>
      <c r="Q80" s="40"/>
      <c r="R80" s="40"/>
      <c r="S80" s="40"/>
      <c r="T80" s="40"/>
      <c r="U80" s="40"/>
      <c r="V80" s="40"/>
      <c r="W80" s="40"/>
      <c r="X80" s="40">
        <f>99736-14036</f>
        <v>85700</v>
      </c>
      <c r="Y80" s="40"/>
      <c r="Z80" s="40"/>
      <c r="AA80" s="40"/>
      <c r="AB80" s="40"/>
      <c r="AC80" s="40"/>
      <c r="AD80" s="40"/>
      <c r="AE80" s="40"/>
      <c r="AF80" s="40"/>
      <c r="AG80" s="40"/>
      <c r="AH80" s="40"/>
    </row>
    <row r="81" spans="1:34" ht="24" customHeight="1">
      <c r="A81" s="41" t="s">
        <v>89</v>
      </c>
      <c r="B81" s="73">
        <v>2648</v>
      </c>
      <c r="C81" s="73">
        <v>244</v>
      </c>
      <c r="D81" s="40">
        <f t="shared" si="32"/>
        <v>1600</v>
      </c>
      <c r="E81" s="40"/>
      <c r="F81" s="40"/>
      <c r="G81" s="40"/>
      <c r="H81" s="40"/>
      <c r="I81" s="40"/>
      <c r="J81" s="40"/>
      <c r="K81" s="40"/>
      <c r="L81" s="40"/>
      <c r="M81" s="40"/>
      <c r="N81" s="40"/>
      <c r="O81" s="40"/>
      <c r="P81" s="40"/>
      <c r="Q81" s="40">
        <v>1600</v>
      </c>
      <c r="R81" s="40"/>
      <c r="S81" s="40"/>
      <c r="T81" s="40"/>
      <c r="U81" s="40"/>
      <c r="V81" s="40"/>
      <c r="W81" s="40"/>
      <c r="X81" s="40"/>
      <c r="Y81" s="40"/>
      <c r="Z81" s="40"/>
      <c r="AA81" s="40"/>
      <c r="AB81" s="40"/>
      <c r="AC81" s="40"/>
      <c r="AD81" s="40"/>
      <c r="AE81" s="40"/>
      <c r="AF81" s="40"/>
      <c r="AG81" s="40"/>
      <c r="AH81" s="40"/>
    </row>
    <row r="82" spans="1:34" ht="21" customHeight="1" hidden="1">
      <c r="A82" s="41" t="s">
        <v>90</v>
      </c>
      <c r="B82" s="73">
        <v>2649</v>
      </c>
      <c r="C82" s="73">
        <v>244</v>
      </c>
      <c r="D82" s="40">
        <f t="shared" si="32"/>
        <v>0</v>
      </c>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row>
    <row r="83" spans="1:34" ht="23.25" customHeight="1" hidden="1">
      <c r="A83" s="41" t="s">
        <v>91</v>
      </c>
      <c r="B83" s="73">
        <v>2650</v>
      </c>
      <c r="C83" s="73">
        <v>244</v>
      </c>
      <c r="D83" s="40">
        <f t="shared" si="32"/>
        <v>0</v>
      </c>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row>
    <row r="84" spans="1:34" ht="21" customHeight="1">
      <c r="A84" s="36" t="s">
        <v>241</v>
      </c>
      <c r="B84" s="73">
        <v>2650</v>
      </c>
      <c r="C84" s="73">
        <v>247</v>
      </c>
      <c r="D84" s="40">
        <f t="shared" si="32"/>
        <v>0</v>
      </c>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row>
    <row r="85" spans="1:34" ht="26.25" customHeight="1" hidden="1">
      <c r="A85" s="114" t="s">
        <v>242</v>
      </c>
      <c r="B85" s="73">
        <v>3000</v>
      </c>
      <c r="C85" s="73" t="s">
        <v>203</v>
      </c>
      <c r="D85" s="40">
        <f aca="true" t="shared" si="33" ref="D85:AH85">D86+D87+D88</f>
        <v>0</v>
      </c>
      <c r="E85" s="40">
        <f t="shared" si="33"/>
        <v>0</v>
      </c>
      <c r="F85" s="40">
        <f t="shared" si="33"/>
        <v>0</v>
      </c>
      <c r="G85" s="40">
        <f t="shared" si="33"/>
        <v>0</v>
      </c>
      <c r="H85" s="40">
        <f>H86+H87+H88</f>
        <v>0</v>
      </c>
      <c r="I85" s="40">
        <f t="shared" si="33"/>
        <v>0</v>
      </c>
      <c r="J85" s="40">
        <f aca="true" t="shared" si="34" ref="J85:Q85">J86+J87+J88</f>
        <v>0</v>
      </c>
      <c r="K85" s="40">
        <f t="shared" si="34"/>
        <v>0</v>
      </c>
      <c r="L85" s="40">
        <f t="shared" si="34"/>
        <v>0</v>
      </c>
      <c r="M85" s="40">
        <f t="shared" si="34"/>
        <v>0</v>
      </c>
      <c r="N85" s="40">
        <f t="shared" si="34"/>
        <v>0</v>
      </c>
      <c r="O85" s="40">
        <f>O86+O87+O88</f>
        <v>0</v>
      </c>
      <c r="P85" s="40">
        <f t="shared" si="34"/>
        <v>0</v>
      </c>
      <c r="Q85" s="40">
        <f t="shared" si="34"/>
        <v>0</v>
      </c>
      <c r="R85" s="40">
        <f t="shared" si="33"/>
        <v>0</v>
      </c>
      <c r="S85" s="40">
        <f t="shared" si="33"/>
        <v>0</v>
      </c>
      <c r="T85" s="40">
        <f>T86+T87+T88</f>
        <v>0</v>
      </c>
      <c r="U85" s="40">
        <f>U86+U87+U88</f>
        <v>0</v>
      </c>
      <c r="V85" s="40">
        <f>V86+V87+V88</f>
        <v>0</v>
      </c>
      <c r="W85" s="40">
        <f t="shared" si="33"/>
        <v>0</v>
      </c>
      <c r="X85" s="40">
        <f t="shared" si="33"/>
        <v>0</v>
      </c>
      <c r="Y85" s="40">
        <f>Y86+Y87+Y88</f>
        <v>0</v>
      </c>
      <c r="Z85" s="40">
        <f t="shared" si="33"/>
        <v>0</v>
      </c>
      <c r="AA85" s="40">
        <f t="shared" si="33"/>
        <v>0</v>
      </c>
      <c r="AB85" s="40">
        <f t="shared" si="33"/>
        <v>0</v>
      </c>
      <c r="AC85" s="40">
        <f t="shared" si="33"/>
        <v>0</v>
      </c>
      <c r="AD85" s="40">
        <f t="shared" si="33"/>
        <v>0</v>
      </c>
      <c r="AE85" s="40">
        <f t="shared" si="33"/>
        <v>0</v>
      </c>
      <c r="AF85" s="40">
        <f t="shared" si="33"/>
        <v>0</v>
      </c>
      <c r="AG85" s="40">
        <f t="shared" si="33"/>
        <v>0</v>
      </c>
      <c r="AH85" s="40">
        <f t="shared" si="33"/>
        <v>0</v>
      </c>
    </row>
    <row r="86" spans="1:34" ht="33.75" customHeight="1" hidden="1">
      <c r="A86" s="35" t="s">
        <v>243</v>
      </c>
      <c r="B86" s="73">
        <v>3010</v>
      </c>
      <c r="C86" s="73">
        <v>180</v>
      </c>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row>
    <row r="87" spans="1:34" ht="17.25" customHeight="1" hidden="1">
      <c r="A87" s="35" t="s">
        <v>71</v>
      </c>
      <c r="B87" s="73">
        <v>3020</v>
      </c>
      <c r="C87" s="73">
        <v>180</v>
      </c>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row>
    <row r="88" spans="1:34" ht="23.25" customHeight="1" hidden="1">
      <c r="A88" s="35" t="s">
        <v>72</v>
      </c>
      <c r="B88" s="73">
        <v>3030</v>
      </c>
      <c r="C88" s="73">
        <v>180</v>
      </c>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row>
    <row r="89" spans="1:34" ht="20.25" customHeight="1">
      <c r="A89" s="65" t="s">
        <v>244</v>
      </c>
      <c r="B89" s="73">
        <v>4000</v>
      </c>
      <c r="C89" s="73" t="s">
        <v>203</v>
      </c>
      <c r="D89" s="40">
        <f aca="true" t="shared" si="35" ref="D89:AH89">D90</f>
        <v>5098.58</v>
      </c>
      <c r="E89" s="40">
        <f t="shared" si="35"/>
        <v>0</v>
      </c>
      <c r="F89" s="40">
        <f t="shared" si="35"/>
        <v>0</v>
      </c>
      <c r="G89" s="40">
        <f t="shared" si="35"/>
        <v>0</v>
      </c>
      <c r="H89" s="40">
        <f t="shared" si="35"/>
        <v>0</v>
      </c>
      <c r="I89" s="40">
        <f t="shared" si="35"/>
        <v>0</v>
      </c>
      <c r="J89" s="40">
        <f t="shared" si="35"/>
        <v>0</v>
      </c>
      <c r="K89" s="40">
        <f t="shared" si="35"/>
        <v>107.65</v>
      </c>
      <c r="L89" s="40">
        <f t="shared" si="35"/>
        <v>0</v>
      </c>
      <c r="M89" s="40">
        <f t="shared" si="35"/>
        <v>0</v>
      </c>
      <c r="N89" s="40">
        <f t="shared" si="35"/>
        <v>0</v>
      </c>
      <c r="O89" s="40">
        <f t="shared" si="35"/>
        <v>0</v>
      </c>
      <c r="P89" s="40">
        <f t="shared" si="35"/>
        <v>0</v>
      </c>
      <c r="Q89" s="40">
        <f t="shared" si="35"/>
        <v>0</v>
      </c>
      <c r="R89" s="40">
        <f t="shared" si="35"/>
        <v>148.6</v>
      </c>
      <c r="S89" s="40">
        <f t="shared" si="35"/>
        <v>0</v>
      </c>
      <c r="T89" s="40">
        <f t="shared" si="35"/>
        <v>2842.33</v>
      </c>
      <c r="U89" s="40">
        <f t="shared" si="35"/>
        <v>0</v>
      </c>
      <c r="V89" s="40">
        <f t="shared" si="35"/>
        <v>0</v>
      </c>
      <c r="W89" s="40">
        <f t="shared" si="35"/>
        <v>2000</v>
      </c>
      <c r="X89" s="40">
        <f t="shared" si="35"/>
        <v>0</v>
      </c>
      <c r="Y89" s="40">
        <f t="shared" si="35"/>
        <v>0</v>
      </c>
      <c r="Z89" s="40">
        <f t="shared" si="35"/>
        <v>0</v>
      </c>
      <c r="AA89" s="40">
        <f t="shared" si="35"/>
        <v>0</v>
      </c>
      <c r="AB89" s="40">
        <f t="shared" si="35"/>
        <v>0</v>
      </c>
      <c r="AC89" s="40">
        <f t="shared" si="35"/>
        <v>0</v>
      </c>
      <c r="AD89" s="40">
        <f t="shared" si="35"/>
        <v>0</v>
      </c>
      <c r="AE89" s="40">
        <f t="shared" si="35"/>
        <v>0</v>
      </c>
      <c r="AF89" s="40">
        <f t="shared" si="35"/>
        <v>0</v>
      </c>
      <c r="AG89" s="40">
        <f t="shared" si="35"/>
        <v>0</v>
      </c>
      <c r="AH89" s="40">
        <f t="shared" si="35"/>
        <v>0</v>
      </c>
    </row>
    <row r="90" spans="1:34" ht="25.5" customHeight="1">
      <c r="A90" s="28" t="s">
        <v>92</v>
      </c>
      <c r="B90" s="73">
        <v>4010</v>
      </c>
      <c r="C90" s="73">
        <v>610</v>
      </c>
      <c r="D90" s="40">
        <f aca="true" t="shared" si="36" ref="D90:Q90">D6</f>
        <v>5098.58</v>
      </c>
      <c r="E90" s="40">
        <f t="shared" si="36"/>
        <v>0</v>
      </c>
      <c r="F90" s="40">
        <f t="shared" si="36"/>
        <v>0</v>
      </c>
      <c r="G90" s="40">
        <f t="shared" si="36"/>
        <v>0</v>
      </c>
      <c r="H90" s="40">
        <f>H6</f>
        <v>0</v>
      </c>
      <c r="I90" s="40">
        <f t="shared" si="36"/>
        <v>0</v>
      </c>
      <c r="J90" s="40">
        <f t="shared" si="36"/>
        <v>0</v>
      </c>
      <c r="K90" s="40">
        <f t="shared" si="36"/>
        <v>107.65</v>
      </c>
      <c r="L90" s="40">
        <f t="shared" si="36"/>
        <v>0</v>
      </c>
      <c r="M90" s="40">
        <f t="shared" si="36"/>
        <v>0</v>
      </c>
      <c r="N90" s="40">
        <f t="shared" si="36"/>
        <v>0</v>
      </c>
      <c r="O90" s="40">
        <f>O6</f>
        <v>0</v>
      </c>
      <c r="P90" s="40">
        <f t="shared" si="36"/>
        <v>0</v>
      </c>
      <c r="Q90" s="40">
        <f t="shared" si="36"/>
        <v>0</v>
      </c>
      <c r="R90" s="40">
        <f aca="true" t="shared" si="37" ref="R90:AH90">R6</f>
        <v>148.6</v>
      </c>
      <c r="S90" s="40">
        <f t="shared" si="37"/>
        <v>0</v>
      </c>
      <c r="T90" s="40">
        <f>T6</f>
        <v>2842.33</v>
      </c>
      <c r="U90" s="40">
        <f>U6</f>
        <v>0</v>
      </c>
      <c r="V90" s="40">
        <f>V6</f>
        <v>0</v>
      </c>
      <c r="W90" s="40">
        <f t="shared" si="37"/>
        <v>2000</v>
      </c>
      <c r="X90" s="40">
        <f t="shared" si="37"/>
        <v>0</v>
      </c>
      <c r="Y90" s="40">
        <f>Y6</f>
        <v>0</v>
      </c>
      <c r="Z90" s="40">
        <f t="shared" si="37"/>
        <v>0</v>
      </c>
      <c r="AA90" s="40">
        <f t="shared" si="37"/>
        <v>0</v>
      </c>
      <c r="AB90" s="40">
        <f t="shared" si="37"/>
        <v>0</v>
      </c>
      <c r="AC90" s="40">
        <f t="shared" si="37"/>
        <v>0</v>
      </c>
      <c r="AD90" s="40">
        <f t="shared" si="37"/>
        <v>0</v>
      </c>
      <c r="AE90" s="40">
        <f t="shared" si="37"/>
        <v>0</v>
      </c>
      <c r="AF90" s="40">
        <f t="shared" si="37"/>
        <v>0</v>
      </c>
      <c r="AG90" s="40">
        <f t="shared" si="37"/>
        <v>0</v>
      </c>
      <c r="AH90" s="40">
        <f t="shared" si="37"/>
        <v>0</v>
      </c>
    </row>
    <row r="91" spans="1:34" ht="17.25" customHeight="1">
      <c r="A91" s="44"/>
      <c r="B91" s="45"/>
      <c r="C91" s="45"/>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row>
    <row r="92" spans="1:3" ht="15" customHeight="1">
      <c r="A92" s="306" t="s">
        <v>248</v>
      </c>
      <c r="B92" s="307"/>
      <c r="C92" s="307"/>
    </row>
    <row r="93" spans="1:3" ht="15">
      <c r="A93" s="306" t="s">
        <v>247</v>
      </c>
      <c r="B93" s="307"/>
      <c r="C93" s="307"/>
    </row>
    <row r="94" spans="1:3" ht="15">
      <c r="A94" s="306" t="s">
        <v>95</v>
      </c>
      <c r="B94" s="307"/>
      <c r="C94" s="307"/>
    </row>
    <row r="95" spans="1:3" ht="7.5" customHeight="1">
      <c r="A95" s="74"/>
      <c r="B95" s="115"/>
      <c r="C95" s="115"/>
    </row>
    <row r="96" spans="1:34" ht="26.25" customHeight="1">
      <c r="A96" s="49" t="s">
        <v>267</v>
      </c>
      <c r="B96" s="39"/>
      <c r="C96" s="39"/>
      <c r="D96" s="47"/>
      <c r="E96" s="47"/>
      <c r="F96" s="47"/>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c r="AF96" s="47"/>
      <c r="AG96" s="47"/>
      <c r="AH96" s="47"/>
    </row>
    <row r="97" spans="1:34" ht="19.5" customHeight="1">
      <c r="A97" s="49" t="s">
        <v>268</v>
      </c>
      <c r="B97" s="39"/>
      <c r="C97" s="39"/>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row>
    <row r="98" spans="1:34" ht="28.5" customHeight="1">
      <c r="A98" s="49" t="s">
        <v>269</v>
      </c>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row>
    <row r="99" spans="1:34" ht="18.75">
      <c r="A99" s="49" t="s">
        <v>268</v>
      </c>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row>
    <row r="100" spans="1:34" ht="18.75">
      <c r="A100" s="38" t="str">
        <f>'Заголовочная часть'!B16</f>
        <v>от "06"  сентября    2023 г.</v>
      </c>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row>
  </sheetData>
  <sheetProtection/>
  <mergeCells count="15">
    <mergeCell ref="A94:C94"/>
    <mergeCell ref="A92:C92"/>
    <mergeCell ref="A3:A4"/>
    <mergeCell ref="B3:B4"/>
    <mergeCell ref="C3:C4"/>
    <mergeCell ref="H4:H5"/>
    <mergeCell ref="M4:M5"/>
    <mergeCell ref="A1:C1"/>
    <mergeCell ref="D3:D5"/>
    <mergeCell ref="W3:AB3"/>
    <mergeCell ref="AC3:AH3"/>
    <mergeCell ref="A93:C93"/>
    <mergeCell ref="R4:R5"/>
    <mergeCell ref="I4:I5"/>
    <mergeCell ref="J3:K3"/>
  </mergeCells>
  <printOptions/>
  <pageMargins left="0.31496062992125984" right="0" top="0.7480314960629921" bottom="0.1968503937007874" header="0" footer="0"/>
  <pageSetup fitToWidth="5" horizontalDpi="600" verticalDpi="600" orientation="portrait" paperSize="9" scale="28" r:id="rId1"/>
</worksheet>
</file>

<file path=xl/worksheets/sheet12.xml><?xml version="1.0" encoding="utf-8"?>
<worksheet xmlns="http://schemas.openxmlformats.org/spreadsheetml/2006/main" xmlns:r="http://schemas.openxmlformats.org/officeDocument/2006/relationships">
  <sheetPr>
    <tabColor rgb="FF92D050"/>
    <pageSetUpPr fitToPage="1"/>
  </sheetPr>
  <dimension ref="A1:PAR1974"/>
  <sheetViews>
    <sheetView view="pageBreakPreview" zoomScale="70" zoomScaleNormal="80" zoomScaleSheetLayoutView="70" zoomScalePageLayoutView="0" workbookViewId="0" topLeftCell="A4">
      <selection activeCell="J258" sqref="J258"/>
    </sheetView>
  </sheetViews>
  <sheetFormatPr defaultColWidth="9.140625" defaultRowHeight="15"/>
  <cols>
    <col min="1" max="2" width="12.00390625" style="12" customWidth="1"/>
    <col min="3" max="3" width="10.57421875" style="12" customWidth="1"/>
    <col min="4" max="4" width="34.140625" style="29" customWidth="1"/>
    <col min="5" max="5" width="19.28125" style="12" customWidth="1"/>
    <col min="6" max="6" width="19.140625" style="12" customWidth="1"/>
    <col min="7" max="7" width="18.140625" style="12" customWidth="1"/>
    <col min="8" max="8" width="18.421875" style="12" customWidth="1"/>
    <col min="9" max="9" width="16.28125" style="12" customWidth="1"/>
    <col min="10" max="10" width="15.8515625" style="12" customWidth="1"/>
    <col min="11" max="11" width="16.8515625" style="12" customWidth="1"/>
    <col min="12" max="12" width="20.00390625" style="12" customWidth="1"/>
    <col min="13" max="13" width="13.140625" style="12" customWidth="1"/>
    <col min="14" max="14" width="20.421875" style="12" customWidth="1"/>
    <col min="15" max="15" width="18.7109375" style="12" customWidth="1"/>
    <col min="16" max="16" width="15.8515625" style="12" customWidth="1"/>
    <col min="17" max="16384" width="9.140625" style="12" customWidth="1"/>
  </cols>
  <sheetData>
    <row r="1" spans="13:16" ht="80.25" customHeight="1" hidden="1">
      <c r="M1" s="377" t="s">
        <v>346</v>
      </c>
      <c r="N1" s="377"/>
      <c r="O1" s="377"/>
      <c r="P1" s="377"/>
    </row>
    <row r="2" spans="5:16" ht="18.75" hidden="1">
      <c r="E2" s="149"/>
      <c r="F2" s="149"/>
      <c r="G2" s="149"/>
      <c r="H2" s="149"/>
      <c r="L2" s="149"/>
      <c r="M2" s="149"/>
      <c r="N2" s="149"/>
      <c r="O2" s="149"/>
      <c r="P2" s="149"/>
    </row>
    <row r="3" spans="5:16" ht="67.5" customHeight="1" hidden="1">
      <c r="E3" s="149"/>
      <c r="F3" s="149"/>
      <c r="G3" s="149"/>
      <c r="H3" s="149"/>
      <c r="K3" s="149"/>
      <c r="L3" s="149"/>
      <c r="M3" s="377" t="s">
        <v>347</v>
      </c>
      <c r="N3" s="377"/>
      <c r="O3" s="377"/>
      <c r="P3" s="377"/>
    </row>
    <row r="4" spans="5:16" ht="13.5" customHeight="1">
      <c r="E4" s="149"/>
      <c r="F4" s="149"/>
      <c r="G4" s="149"/>
      <c r="H4" s="149"/>
      <c r="K4" s="149"/>
      <c r="L4" s="149"/>
      <c r="M4" s="149"/>
      <c r="N4" s="149"/>
      <c r="O4" s="149"/>
      <c r="P4" s="149"/>
    </row>
    <row r="5" spans="2:16" ht="18.75" customHeight="1">
      <c r="B5" s="370" t="s">
        <v>106</v>
      </c>
      <c r="C5" s="370"/>
      <c r="D5" s="370"/>
      <c r="E5" s="370"/>
      <c r="F5" s="370"/>
      <c r="G5" s="370"/>
      <c r="H5" s="370"/>
      <c r="I5" s="370"/>
      <c r="J5" s="370"/>
      <c r="K5" s="370"/>
      <c r="L5" s="370"/>
      <c r="M5" s="370"/>
      <c r="N5" s="370"/>
      <c r="O5" s="370"/>
      <c r="P5" s="370"/>
    </row>
    <row r="6" spans="2:16" ht="18.75">
      <c r="B6" s="370"/>
      <c r="C6" s="370"/>
      <c r="D6" s="370"/>
      <c r="E6" s="370"/>
      <c r="F6" s="370"/>
      <c r="G6" s="370"/>
      <c r="H6" s="370"/>
      <c r="I6" s="370"/>
      <c r="J6" s="370"/>
      <c r="K6" s="370"/>
      <c r="L6" s="370"/>
      <c r="M6" s="370"/>
      <c r="N6" s="370"/>
      <c r="O6" s="370"/>
      <c r="P6" s="370"/>
    </row>
    <row r="7" spans="2:16" ht="12.75" customHeight="1">
      <c r="B7" s="378" t="s">
        <v>348</v>
      </c>
      <c r="C7" s="378"/>
      <c r="D7" s="378"/>
      <c r="E7" s="378"/>
      <c r="F7" s="378"/>
      <c r="G7" s="378"/>
      <c r="H7" s="378"/>
      <c r="I7" s="378"/>
      <c r="J7" s="378"/>
      <c r="K7" s="378"/>
      <c r="L7" s="378"/>
      <c r="M7" s="378"/>
      <c r="N7" s="378"/>
      <c r="O7" s="378"/>
      <c r="P7" s="378"/>
    </row>
    <row r="8" spans="1:16" ht="21.75" customHeight="1">
      <c r="A8" s="358" t="s">
        <v>107</v>
      </c>
      <c r="B8" s="358" t="s">
        <v>107</v>
      </c>
      <c r="C8" s="358" t="s">
        <v>31</v>
      </c>
      <c r="D8" s="379" t="s">
        <v>108</v>
      </c>
      <c r="E8" s="358" t="s">
        <v>109</v>
      </c>
      <c r="F8" s="357" t="s">
        <v>110</v>
      </c>
      <c r="G8" s="357"/>
      <c r="H8" s="357"/>
      <c r="I8" s="357"/>
      <c r="J8" s="358" t="s">
        <v>349</v>
      </c>
      <c r="K8" s="367" t="s">
        <v>111</v>
      </c>
      <c r="L8" s="368"/>
      <c r="M8" s="368"/>
      <c r="N8" s="368"/>
      <c r="O8" s="368"/>
      <c r="P8" s="368"/>
    </row>
    <row r="9" spans="1:16" ht="57.75" customHeight="1">
      <c r="A9" s="359"/>
      <c r="B9" s="359"/>
      <c r="C9" s="359"/>
      <c r="D9" s="380"/>
      <c r="E9" s="359"/>
      <c r="F9" s="358" t="s">
        <v>350</v>
      </c>
      <c r="G9" s="367" t="s">
        <v>14</v>
      </c>
      <c r="H9" s="368"/>
      <c r="I9" s="369"/>
      <c r="J9" s="359"/>
      <c r="K9" s="371" t="s">
        <v>112</v>
      </c>
      <c r="L9" s="372"/>
      <c r="M9" s="373"/>
      <c r="N9" s="358" t="s">
        <v>113</v>
      </c>
      <c r="O9" s="367" t="s">
        <v>114</v>
      </c>
      <c r="P9" s="369"/>
    </row>
    <row r="10" spans="1:16" ht="47.25" customHeight="1">
      <c r="A10" s="359"/>
      <c r="B10" s="359"/>
      <c r="C10" s="359"/>
      <c r="D10" s="380"/>
      <c r="E10" s="359"/>
      <c r="F10" s="359"/>
      <c r="G10" s="150" t="s">
        <v>115</v>
      </c>
      <c r="H10" s="150" t="s">
        <v>116</v>
      </c>
      <c r="I10" s="150" t="s">
        <v>298</v>
      </c>
      <c r="J10" s="359"/>
      <c r="K10" s="151" t="s">
        <v>96</v>
      </c>
      <c r="L10" s="151" t="s">
        <v>351</v>
      </c>
      <c r="M10" s="151" t="s">
        <v>352</v>
      </c>
      <c r="N10" s="359"/>
      <c r="O10" s="150" t="s">
        <v>96</v>
      </c>
      <c r="P10" s="150" t="s">
        <v>353</v>
      </c>
    </row>
    <row r="11" spans="1:16" ht="18.75">
      <c r="A11" s="151">
        <v>1</v>
      </c>
      <c r="B11" s="151">
        <v>1</v>
      </c>
      <c r="C11" s="151">
        <v>2</v>
      </c>
      <c r="D11" s="73">
        <v>3</v>
      </c>
      <c r="E11" s="151">
        <v>4</v>
      </c>
      <c r="F11" s="151">
        <v>5</v>
      </c>
      <c r="G11" s="151">
        <v>6</v>
      </c>
      <c r="H11" s="151">
        <v>7</v>
      </c>
      <c r="I11" s="151">
        <v>8</v>
      </c>
      <c r="J11" s="151">
        <v>9</v>
      </c>
      <c r="K11" s="151">
        <v>10</v>
      </c>
      <c r="L11" s="151">
        <v>11</v>
      </c>
      <c r="M11" s="151">
        <v>12</v>
      </c>
      <c r="N11" s="151">
        <v>13</v>
      </c>
      <c r="O11" s="151">
        <v>14</v>
      </c>
      <c r="P11" s="151">
        <v>15</v>
      </c>
    </row>
    <row r="12" spans="1:16" ht="28.5" customHeight="1">
      <c r="A12" s="220">
        <v>111</v>
      </c>
      <c r="B12" s="220">
        <v>111</v>
      </c>
      <c r="C12" s="152" t="s">
        <v>58</v>
      </c>
      <c r="D12" s="155" t="s">
        <v>117</v>
      </c>
      <c r="E12" s="253">
        <f>3+1</f>
        <v>4</v>
      </c>
      <c r="F12" s="154">
        <f>G12+H12+I12</f>
        <v>95937.53</v>
      </c>
      <c r="G12" s="154">
        <f>69850+8500</f>
        <v>78350</v>
      </c>
      <c r="H12" s="154">
        <f>ROUND((2125)/E12,2)</f>
        <v>531.25</v>
      </c>
      <c r="I12" s="154">
        <f>(64960.12+3265)/E12</f>
        <v>17056.28</v>
      </c>
      <c r="J12" s="251">
        <f>E12*F12*12</f>
        <v>4605001.4399999995</v>
      </c>
      <c r="K12" s="155">
        <f>J12</f>
        <v>4605001.4399999995</v>
      </c>
      <c r="L12" s="155">
        <f>K12</f>
        <v>4605001.4399999995</v>
      </c>
      <c r="M12" s="155"/>
      <c r="N12" s="155"/>
      <c r="O12" s="155"/>
      <c r="P12" s="155"/>
    </row>
    <row r="13" spans="1:16" ht="18.75">
      <c r="A13" s="220">
        <v>111</v>
      </c>
      <c r="B13" s="220">
        <v>111</v>
      </c>
      <c r="C13" s="152" t="s">
        <v>262</v>
      </c>
      <c r="D13" s="155" t="s">
        <v>118</v>
      </c>
      <c r="E13" s="253">
        <f>27.27+2+17.5</f>
        <v>46.769999999999996</v>
      </c>
      <c r="F13" s="254">
        <f>G13+H13+I13</f>
        <v>26244.494321388855</v>
      </c>
      <c r="G13" s="154">
        <f>ROUND((344628.07+153904+17658+6129)/E13,2)</f>
        <v>11167.82</v>
      </c>
      <c r="H13" s="154">
        <f>ROUND((11177.27+4414.5+2207.25+38414)/E13,2)</f>
        <v>1201.9</v>
      </c>
      <c r="I13" s="254">
        <f>(253001.22-5413+'[1]Раздел 1'!AB41/12)/E13-3000+362.38741-128.2873637-14.715274-26.726534-9.621552-19.180297-0.03103841493-1.472165735+0.002209393-147.886822-3.56353788+4.276096855-2435.321787-213.8122733+1179.531038-540.548143+139.6906849+133.6326705+966.0822465-33.31059796-267.265341-67.07932438-23.16299622-30.53524339-2784.192146+4271.256503-111.652412-4.105730193-452.9987171+1968.864797-2605.07</f>
        <v>13874.774321388857</v>
      </c>
      <c r="J13" s="251">
        <f>E13*F13*12</f>
        <v>14729459.99293628</v>
      </c>
      <c r="K13" s="155">
        <f>J13</f>
        <v>14729459.99293628</v>
      </c>
      <c r="L13" s="155">
        <f>K13-N13-O13</f>
        <v>13039271.99293628</v>
      </c>
      <c r="M13" s="155"/>
      <c r="N13" s="155">
        <f>4028388-2500000</f>
        <v>1528388</v>
      </c>
      <c r="O13" s="155">
        <v>161800</v>
      </c>
      <c r="P13" s="155"/>
    </row>
    <row r="14" spans="1:16" ht="18.75">
      <c r="A14" s="220">
        <v>111</v>
      </c>
      <c r="B14" s="220">
        <v>111</v>
      </c>
      <c r="C14" s="152" t="s">
        <v>354</v>
      </c>
      <c r="D14" s="155" t="s">
        <v>119</v>
      </c>
      <c r="E14" s="253">
        <f>3+12</f>
        <v>15</v>
      </c>
      <c r="F14" s="254">
        <f>G14+H14+I14</f>
        <v>9500.26</v>
      </c>
      <c r="G14" s="154">
        <f>ROUND((18300+68924.5+16266)/E14,2)</f>
        <v>6899.37</v>
      </c>
      <c r="H14" s="154">
        <f>ROUND((1308.72*2+4680)/E14,2)</f>
        <v>486.5</v>
      </c>
      <c r="I14" s="154">
        <f>ROUND((1308.72*2+84680+20000000)/F14,2)</f>
        <v>2114.39</v>
      </c>
      <c r="J14" s="251">
        <f>E14*F14*12-21.11</f>
        <v>1710025.6899999997</v>
      </c>
      <c r="K14" s="155">
        <f>J14</f>
        <v>1710025.6899999997</v>
      </c>
      <c r="L14" s="155">
        <f>K14-N14-O14</f>
        <v>158025.6899999997</v>
      </c>
      <c r="M14" s="155"/>
      <c r="N14" s="155">
        <v>1500000</v>
      </c>
      <c r="O14" s="155">
        <v>52000</v>
      </c>
      <c r="P14" s="155"/>
    </row>
    <row r="15" spans="1:16" ht="18.75">
      <c r="A15" s="220">
        <v>111</v>
      </c>
      <c r="B15" s="220">
        <v>111</v>
      </c>
      <c r="C15" s="152" t="s">
        <v>355</v>
      </c>
      <c r="D15" s="155" t="s">
        <v>120</v>
      </c>
      <c r="E15" s="253">
        <f>4+3+12</f>
        <v>19</v>
      </c>
      <c r="F15" s="254">
        <f>G15+H15+I15</f>
        <v>13410.97333333184</v>
      </c>
      <c r="G15" s="154">
        <f>ROUND((16266+21626+5544+60901)/E15,2)</f>
        <v>5491.42</v>
      </c>
      <c r="H15" s="154">
        <f>ROUND((1308.72*2+4680)/E15,2)</f>
        <v>384.08</v>
      </c>
      <c r="I15" s="254">
        <f>(24095.28+22834+8346+87212.33)/E15-0.5+36.625438595</f>
        <v>7535.473333331841</v>
      </c>
      <c r="J15" s="251">
        <f>E15*F15*12</f>
        <v>3057701.9199996595</v>
      </c>
      <c r="K15" s="155">
        <f>J15</f>
        <v>3057701.9199996595</v>
      </c>
      <c r="L15" s="156">
        <f>K15-M15-N15</f>
        <v>278801.9199996595</v>
      </c>
      <c r="M15" s="156">
        <v>1778900</v>
      </c>
      <c r="N15" s="155">
        <v>1000000</v>
      </c>
      <c r="O15" s="155"/>
      <c r="P15" s="155"/>
    </row>
    <row r="16" spans="1:16" ht="18.75">
      <c r="A16" s="151" t="s">
        <v>16</v>
      </c>
      <c r="B16" s="151" t="s">
        <v>16</v>
      </c>
      <c r="C16" s="151" t="s">
        <v>16</v>
      </c>
      <c r="D16" s="153" t="s">
        <v>29</v>
      </c>
      <c r="E16" s="247" t="s">
        <v>16</v>
      </c>
      <c r="F16" s="247" t="s">
        <v>16</v>
      </c>
      <c r="G16" s="247" t="s">
        <v>16</v>
      </c>
      <c r="H16" s="248" t="s">
        <v>16</v>
      </c>
      <c r="I16" s="248" t="s">
        <v>16</v>
      </c>
      <c r="J16" s="252">
        <f aca="true" t="shared" si="0" ref="J16:O16">(SUM(J12:J15))</f>
        <v>24102189.04293594</v>
      </c>
      <c r="K16" s="252">
        <f t="shared" si="0"/>
        <v>24102189.04293594</v>
      </c>
      <c r="L16" s="252">
        <f t="shared" si="0"/>
        <v>18081101.04293594</v>
      </c>
      <c r="M16" s="252">
        <f t="shared" si="0"/>
        <v>1778900</v>
      </c>
      <c r="N16" s="252">
        <f t="shared" si="0"/>
        <v>4028388</v>
      </c>
      <c r="O16" s="252">
        <f t="shared" si="0"/>
        <v>213800</v>
      </c>
      <c r="P16" s="155"/>
    </row>
    <row r="17" spans="1:16" ht="13.5" customHeight="1">
      <c r="A17" s="158">
        <f>'Раздел 1'!D43-J16</f>
        <v>-0.0029359422624111176</v>
      </c>
      <c r="B17" s="204"/>
      <c r="C17" s="203"/>
      <c r="D17" s="205"/>
      <c r="E17" s="203"/>
      <c r="F17" s="203"/>
      <c r="G17" s="203"/>
      <c r="H17" s="203"/>
      <c r="I17" s="203"/>
      <c r="J17" s="255">
        <f>'Раздел 1'!D43</f>
        <v>24096417.779999997</v>
      </c>
      <c r="K17" s="222"/>
      <c r="L17" s="221">
        <f>'Раздел 1'!T43</f>
        <v>17876900</v>
      </c>
      <c r="M17" s="221">
        <f>'Раздел 1'!L43</f>
        <v>1778900</v>
      </c>
      <c r="N17" s="169">
        <f>'Раздел 1'!AB43</f>
        <v>4226839.04</v>
      </c>
      <c r="O17" s="169">
        <f>'Раздел 1'!AJ43</f>
        <v>213778.74</v>
      </c>
      <c r="P17" s="203"/>
    </row>
    <row r="18" spans="2:16" ht="13.5" customHeight="1">
      <c r="B18" s="376" t="s">
        <v>356</v>
      </c>
      <c r="C18" s="376"/>
      <c r="D18" s="376"/>
      <c r="E18" s="376"/>
      <c r="F18" s="376"/>
      <c r="G18" s="376"/>
      <c r="H18" s="376"/>
      <c r="I18" s="376"/>
      <c r="J18" s="376"/>
      <c r="K18" s="376"/>
      <c r="L18" s="376"/>
      <c r="M18" s="376"/>
      <c r="N18" s="376"/>
      <c r="O18" s="376"/>
      <c r="P18" s="376"/>
    </row>
    <row r="19" spans="1:16" ht="13.5" customHeight="1">
      <c r="A19" s="160"/>
      <c r="B19" s="160"/>
      <c r="C19" s="159"/>
      <c r="E19" s="159"/>
      <c r="F19" s="159"/>
      <c r="G19" s="159"/>
      <c r="H19" s="159"/>
      <c r="I19" s="159"/>
      <c r="J19" s="159"/>
      <c r="K19" s="159"/>
      <c r="L19" s="159"/>
      <c r="M19" s="159"/>
      <c r="N19" s="159"/>
      <c r="O19" s="159"/>
      <c r="P19" s="159"/>
    </row>
    <row r="20" spans="2:16" ht="18.75">
      <c r="B20" s="361" t="s">
        <v>357</v>
      </c>
      <c r="C20" s="361"/>
      <c r="D20" s="361"/>
      <c r="E20" s="361"/>
      <c r="F20" s="361"/>
      <c r="G20" s="361"/>
      <c r="H20" s="361"/>
      <c r="I20" s="361"/>
      <c r="J20" s="361"/>
      <c r="K20" s="361"/>
      <c r="L20" s="361"/>
      <c r="M20" s="361"/>
      <c r="N20" s="361"/>
      <c r="O20" s="159"/>
      <c r="P20" s="159"/>
    </row>
    <row r="21" spans="1:16" ht="14.25" customHeight="1">
      <c r="A21" s="160"/>
      <c r="B21" s="160"/>
      <c r="C21" s="159"/>
      <c r="E21" s="159"/>
      <c r="F21" s="159"/>
      <c r="G21" s="159"/>
      <c r="H21" s="159"/>
      <c r="I21" s="159"/>
      <c r="J21" s="159"/>
      <c r="K21" s="159"/>
      <c r="L21" s="159"/>
      <c r="M21" s="159"/>
      <c r="N21" s="159"/>
      <c r="O21" s="159"/>
      <c r="P21" s="159"/>
    </row>
    <row r="22" spans="1:16" ht="15" customHeight="1" hidden="1">
      <c r="A22" s="357" t="s">
        <v>107</v>
      </c>
      <c r="B22" s="357" t="s">
        <v>107</v>
      </c>
      <c r="C22" s="357" t="s">
        <v>31</v>
      </c>
      <c r="D22" s="305" t="s">
        <v>30</v>
      </c>
      <c r="E22" s="357" t="s">
        <v>121</v>
      </c>
      <c r="F22" s="357" t="s">
        <v>122</v>
      </c>
      <c r="G22" s="357" t="s">
        <v>123</v>
      </c>
      <c r="H22" s="357" t="s">
        <v>491</v>
      </c>
      <c r="I22" s="357" t="s">
        <v>111</v>
      </c>
      <c r="J22" s="357"/>
      <c r="K22" s="357"/>
      <c r="L22" s="357"/>
      <c r="M22" s="357"/>
      <c r="N22" s="357"/>
      <c r="O22" s="159"/>
      <c r="P22" s="159"/>
    </row>
    <row r="23" spans="1:16" ht="25.5" customHeight="1" hidden="1">
      <c r="A23" s="357"/>
      <c r="B23" s="357"/>
      <c r="C23" s="357"/>
      <c r="D23" s="305"/>
      <c r="E23" s="357"/>
      <c r="F23" s="357"/>
      <c r="G23" s="357"/>
      <c r="H23" s="357"/>
      <c r="I23" s="371" t="s">
        <v>112</v>
      </c>
      <c r="J23" s="372"/>
      <c r="K23" s="373"/>
      <c r="L23" s="357" t="s">
        <v>113</v>
      </c>
      <c r="M23" s="371" t="s">
        <v>114</v>
      </c>
      <c r="N23" s="373"/>
      <c r="O23" s="159"/>
      <c r="P23" s="159"/>
    </row>
    <row r="24" spans="1:16" ht="38.25" customHeight="1" hidden="1">
      <c r="A24" s="357"/>
      <c r="B24" s="357"/>
      <c r="C24" s="357"/>
      <c r="D24" s="305"/>
      <c r="E24" s="357"/>
      <c r="F24" s="357"/>
      <c r="G24" s="357"/>
      <c r="H24" s="357"/>
      <c r="I24" s="358" t="s">
        <v>96</v>
      </c>
      <c r="J24" s="358" t="s">
        <v>351</v>
      </c>
      <c r="K24" s="358" t="s">
        <v>352</v>
      </c>
      <c r="L24" s="357"/>
      <c r="M24" s="374"/>
      <c r="N24" s="375"/>
      <c r="O24" s="159">
        <f>A17/E13/12</f>
        <v>-5.231170733395905E-06</v>
      </c>
      <c r="P24" s="159"/>
    </row>
    <row r="25" spans="1:16" ht="45" customHeight="1" hidden="1">
      <c r="A25" s="357"/>
      <c r="B25" s="357"/>
      <c r="C25" s="357"/>
      <c r="D25" s="305"/>
      <c r="E25" s="357"/>
      <c r="F25" s="357"/>
      <c r="G25" s="357"/>
      <c r="H25" s="357"/>
      <c r="I25" s="362"/>
      <c r="J25" s="362"/>
      <c r="K25" s="362"/>
      <c r="L25" s="357"/>
      <c r="M25" s="151" t="s">
        <v>96</v>
      </c>
      <c r="N25" s="151" t="s">
        <v>353</v>
      </c>
      <c r="O25" s="159"/>
      <c r="P25" s="159"/>
    </row>
    <row r="26" spans="1:16" ht="18.75" hidden="1">
      <c r="A26" s="151">
        <v>1</v>
      </c>
      <c r="B26" s="151">
        <v>1</v>
      </c>
      <c r="C26" s="151">
        <v>2</v>
      </c>
      <c r="D26" s="73">
        <v>3</v>
      </c>
      <c r="E26" s="151">
        <v>4</v>
      </c>
      <c r="F26" s="151">
        <v>5</v>
      </c>
      <c r="G26" s="151">
        <v>6</v>
      </c>
      <c r="H26" s="151">
        <v>7</v>
      </c>
      <c r="I26" s="151">
        <v>8</v>
      </c>
      <c r="J26" s="151">
        <v>9</v>
      </c>
      <c r="K26" s="151">
        <v>10</v>
      </c>
      <c r="L26" s="151">
        <v>11</v>
      </c>
      <c r="M26" s="151">
        <v>12</v>
      </c>
      <c r="N26" s="151">
        <v>13</v>
      </c>
      <c r="O26" s="159"/>
      <c r="P26" s="159"/>
    </row>
    <row r="27" spans="1:16" ht="40.5" customHeight="1" hidden="1">
      <c r="A27" s="155"/>
      <c r="B27" s="155"/>
      <c r="C27" s="152" t="s">
        <v>58</v>
      </c>
      <c r="D27" s="153" t="s">
        <v>358</v>
      </c>
      <c r="E27" s="151" t="s">
        <v>16</v>
      </c>
      <c r="F27" s="151" t="s">
        <v>16</v>
      </c>
      <c r="G27" s="151" t="s">
        <v>16</v>
      </c>
      <c r="H27" s="155"/>
      <c r="I27" s="151"/>
      <c r="J27" s="151"/>
      <c r="K27" s="151"/>
      <c r="L27" s="151"/>
      <c r="M27" s="151"/>
      <c r="N27" s="151"/>
      <c r="O27" s="159"/>
      <c r="P27" s="159"/>
    </row>
    <row r="28" spans="1:16" ht="56.25" customHeight="1" hidden="1">
      <c r="A28" s="155"/>
      <c r="B28" s="155"/>
      <c r="C28" s="161" t="s">
        <v>124</v>
      </c>
      <c r="D28" s="162" t="s">
        <v>359</v>
      </c>
      <c r="E28" s="155"/>
      <c r="F28" s="155"/>
      <c r="G28" s="155"/>
      <c r="H28" s="155"/>
      <c r="I28" s="151"/>
      <c r="J28" s="151"/>
      <c r="K28" s="151"/>
      <c r="L28" s="151"/>
      <c r="M28" s="151"/>
      <c r="N28" s="151"/>
      <c r="O28" s="159"/>
      <c r="P28" s="159"/>
    </row>
    <row r="29" spans="1:16" ht="33" customHeight="1" hidden="1">
      <c r="A29" s="155"/>
      <c r="B29" s="155"/>
      <c r="C29" s="161" t="s">
        <v>125</v>
      </c>
      <c r="D29" s="162" t="s">
        <v>360</v>
      </c>
      <c r="E29" s="155"/>
      <c r="F29" s="155"/>
      <c r="G29" s="155"/>
      <c r="H29" s="155"/>
      <c r="I29" s="151"/>
      <c r="J29" s="151"/>
      <c r="K29" s="151"/>
      <c r="L29" s="151"/>
      <c r="M29" s="151"/>
      <c r="N29" s="151"/>
      <c r="O29" s="159"/>
      <c r="P29" s="159"/>
    </row>
    <row r="30" spans="1:16" ht="33" customHeight="1" hidden="1">
      <c r="A30" s="155"/>
      <c r="B30" s="155"/>
      <c r="C30" s="161" t="s">
        <v>126</v>
      </c>
      <c r="D30" s="162" t="s">
        <v>361</v>
      </c>
      <c r="E30" s="155"/>
      <c r="F30" s="155"/>
      <c r="G30" s="155"/>
      <c r="H30" s="155"/>
      <c r="I30" s="151"/>
      <c r="J30" s="151"/>
      <c r="K30" s="151"/>
      <c r="L30" s="151"/>
      <c r="M30" s="151"/>
      <c r="N30" s="151"/>
      <c r="O30" s="159"/>
      <c r="P30" s="159"/>
    </row>
    <row r="31" spans="1:16" ht="18.75" customHeight="1" hidden="1">
      <c r="A31" s="155"/>
      <c r="B31" s="155"/>
      <c r="C31" s="161"/>
      <c r="D31" s="162"/>
      <c r="E31" s="155"/>
      <c r="F31" s="155"/>
      <c r="G31" s="155"/>
      <c r="H31" s="155"/>
      <c r="I31" s="151"/>
      <c r="J31" s="151"/>
      <c r="K31" s="151"/>
      <c r="L31" s="151"/>
      <c r="M31" s="151"/>
      <c r="N31" s="151"/>
      <c r="O31" s="159"/>
      <c r="P31" s="159"/>
    </row>
    <row r="32" spans="1:16" ht="18.75" hidden="1">
      <c r="A32" s="151" t="s">
        <v>16</v>
      </c>
      <c r="B32" s="151" t="s">
        <v>16</v>
      </c>
      <c r="C32" s="151" t="s">
        <v>16</v>
      </c>
      <c r="D32" s="153" t="s">
        <v>29</v>
      </c>
      <c r="E32" s="151" t="s">
        <v>16</v>
      </c>
      <c r="F32" s="151" t="s">
        <v>16</v>
      </c>
      <c r="G32" s="151" t="s">
        <v>16</v>
      </c>
      <c r="H32" s="155"/>
      <c r="I32" s="155"/>
      <c r="J32" s="155"/>
      <c r="K32" s="155"/>
      <c r="L32" s="155"/>
      <c r="M32" s="155"/>
      <c r="N32" s="155"/>
      <c r="O32" s="159"/>
      <c r="P32" s="159"/>
    </row>
    <row r="33" spans="1:16" ht="11.25" customHeight="1" hidden="1">
      <c r="A33" s="160"/>
      <c r="B33" s="160"/>
      <c r="C33" s="159"/>
      <c r="E33" s="159"/>
      <c r="F33" s="159"/>
      <c r="G33" s="159"/>
      <c r="H33" s="159"/>
      <c r="I33" s="159"/>
      <c r="J33" s="159"/>
      <c r="K33" s="159"/>
      <c r="L33" s="159"/>
      <c r="M33" s="159"/>
      <c r="N33" s="159"/>
      <c r="O33" s="159"/>
      <c r="P33" s="159"/>
    </row>
    <row r="34" spans="2:16" ht="15.75" customHeight="1" hidden="1">
      <c r="B34" s="361" t="s">
        <v>362</v>
      </c>
      <c r="C34" s="361"/>
      <c r="D34" s="361"/>
      <c r="E34" s="361"/>
      <c r="F34" s="361"/>
      <c r="G34" s="361"/>
      <c r="H34" s="361"/>
      <c r="I34" s="361"/>
      <c r="J34" s="361"/>
      <c r="K34" s="361"/>
      <c r="L34" s="361"/>
      <c r="M34" s="361"/>
      <c r="N34" s="361"/>
      <c r="O34" s="159"/>
      <c r="P34" s="159"/>
    </row>
    <row r="35" spans="1:16" ht="11.25" customHeight="1" hidden="1">
      <c r="A35" s="160"/>
      <c r="B35" s="160"/>
      <c r="C35" s="159"/>
      <c r="E35" s="159"/>
      <c r="F35" s="159"/>
      <c r="G35" s="159"/>
      <c r="H35" s="159"/>
      <c r="I35" s="159"/>
      <c r="J35" s="159"/>
      <c r="K35" s="159"/>
      <c r="L35" s="159"/>
      <c r="M35" s="159"/>
      <c r="N35" s="159"/>
      <c r="O35" s="159"/>
      <c r="P35" s="159"/>
    </row>
    <row r="36" spans="1:16" ht="19.5" customHeight="1" hidden="1">
      <c r="A36" s="357" t="s">
        <v>107</v>
      </c>
      <c r="B36" s="357" t="s">
        <v>107</v>
      </c>
      <c r="C36" s="357" t="s">
        <v>31</v>
      </c>
      <c r="D36" s="305" t="s">
        <v>30</v>
      </c>
      <c r="E36" s="357" t="s">
        <v>127</v>
      </c>
      <c r="F36" s="357" t="s">
        <v>128</v>
      </c>
      <c r="G36" s="357" t="s">
        <v>129</v>
      </c>
      <c r="H36" s="357" t="s">
        <v>492</v>
      </c>
      <c r="I36" s="357" t="s">
        <v>111</v>
      </c>
      <c r="J36" s="357"/>
      <c r="K36" s="357"/>
      <c r="L36" s="357"/>
      <c r="M36" s="357"/>
      <c r="N36" s="357"/>
      <c r="O36" s="159"/>
      <c r="P36" s="159"/>
    </row>
    <row r="37" spans="1:16" ht="25.5" customHeight="1" hidden="1">
      <c r="A37" s="357"/>
      <c r="B37" s="357"/>
      <c r="C37" s="357"/>
      <c r="D37" s="305"/>
      <c r="E37" s="357"/>
      <c r="F37" s="357"/>
      <c r="G37" s="357"/>
      <c r="H37" s="357"/>
      <c r="I37" s="357" t="s">
        <v>112</v>
      </c>
      <c r="J37" s="357"/>
      <c r="K37" s="357"/>
      <c r="L37" s="357" t="s">
        <v>113</v>
      </c>
      <c r="M37" s="357" t="s">
        <v>114</v>
      </c>
      <c r="N37" s="357"/>
      <c r="O37" s="159"/>
      <c r="P37" s="159"/>
    </row>
    <row r="38" spans="1:16" ht="18.75" customHeight="1" hidden="1">
      <c r="A38" s="357"/>
      <c r="B38" s="357"/>
      <c r="C38" s="357"/>
      <c r="D38" s="305"/>
      <c r="E38" s="357"/>
      <c r="F38" s="357"/>
      <c r="G38" s="357"/>
      <c r="H38" s="357"/>
      <c r="I38" s="357" t="s">
        <v>96</v>
      </c>
      <c r="J38" s="357" t="s">
        <v>351</v>
      </c>
      <c r="K38" s="357" t="s">
        <v>352</v>
      </c>
      <c r="L38" s="357"/>
      <c r="M38" s="357"/>
      <c r="N38" s="357"/>
      <c r="O38" s="159"/>
      <c r="P38" s="159"/>
    </row>
    <row r="39" spans="1:16" ht="27" customHeight="1" hidden="1">
      <c r="A39" s="357"/>
      <c r="B39" s="357"/>
      <c r="C39" s="357"/>
      <c r="D39" s="305"/>
      <c r="E39" s="357"/>
      <c r="F39" s="357"/>
      <c r="G39" s="357"/>
      <c r="H39" s="357"/>
      <c r="I39" s="357"/>
      <c r="J39" s="357"/>
      <c r="K39" s="357"/>
      <c r="L39" s="357"/>
      <c r="M39" s="357"/>
      <c r="N39" s="357"/>
      <c r="O39" s="159"/>
      <c r="P39" s="159"/>
    </row>
    <row r="40" spans="1:16" ht="32.25" customHeight="1" hidden="1">
      <c r="A40" s="357"/>
      <c r="B40" s="357"/>
      <c r="C40" s="357"/>
      <c r="D40" s="305"/>
      <c r="E40" s="357"/>
      <c r="F40" s="357"/>
      <c r="G40" s="357"/>
      <c r="H40" s="357"/>
      <c r="I40" s="357"/>
      <c r="J40" s="357"/>
      <c r="K40" s="357"/>
      <c r="L40" s="357"/>
      <c r="M40" s="151" t="s">
        <v>96</v>
      </c>
      <c r="N40" s="151" t="s">
        <v>353</v>
      </c>
      <c r="O40" s="159"/>
      <c r="P40" s="159"/>
    </row>
    <row r="41" spans="1:16" ht="15" customHeight="1" hidden="1">
      <c r="A41" s="151">
        <v>1</v>
      </c>
      <c r="B41" s="151">
        <v>1</v>
      </c>
      <c r="C41" s="151">
        <v>2</v>
      </c>
      <c r="D41" s="73">
        <v>3</v>
      </c>
      <c r="E41" s="151">
        <v>4</v>
      </c>
      <c r="F41" s="151">
        <v>5</v>
      </c>
      <c r="G41" s="151">
        <v>6</v>
      </c>
      <c r="H41" s="151">
        <v>7</v>
      </c>
      <c r="I41" s="151">
        <v>8</v>
      </c>
      <c r="J41" s="151">
        <v>9</v>
      </c>
      <c r="K41" s="151">
        <v>10</v>
      </c>
      <c r="L41" s="151">
        <v>11</v>
      </c>
      <c r="M41" s="151">
        <v>12</v>
      </c>
      <c r="N41" s="151">
        <v>13</v>
      </c>
      <c r="O41" s="159"/>
      <c r="P41" s="159"/>
    </row>
    <row r="42" spans="1:16" ht="15" customHeight="1" hidden="1">
      <c r="A42" s="151">
        <v>112</v>
      </c>
      <c r="B42" s="151">
        <v>112</v>
      </c>
      <c r="C42" s="152" t="s">
        <v>58</v>
      </c>
      <c r="D42" s="153" t="s">
        <v>130</v>
      </c>
      <c r="E42" s="155"/>
      <c r="F42" s="155"/>
      <c r="G42" s="155"/>
      <c r="H42" s="155"/>
      <c r="I42" s="155"/>
      <c r="J42" s="155"/>
      <c r="K42" s="155"/>
      <c r="L42" s="155"/>
      <c r="M42" s="155"/>
      <c r="N42" s="155"/>
      <c r="O42" s="159"/>
      <c r="P42" s="159"/>
    </row>
    <row r="43" spans="1:16" ht="18.75" hidden="1">
      <c r="A43" s="151" t="s">
        <v>16</v>
      </c>
      <c r="B43" s="151" t="s">
        <v>16</v>
      </c>
      <c r="C43" s="151" t="s">
        <v>16</v>
      </c>
      <c r="D43" s="153" t="s">
        <v>29</v>
      </c>
      <c r="E43" s="151" t="s">
        <v>16</v>
      </c>
      <c r="F43" s="151" t="s">
        <v>16</v>
      </c>
      <c r="G43" s="151" t="s">
        <v>16</v>
      </c>
      <c r="H43" s="155"/>
      <c r="I43" s="155"/>
      <c r="J43" s="155"/>
      <c r="K43" s="155"/>
      <c r="L43" s="155"/>
      <c r="M43" s="155"/>
      <c r="N43" s="155"/>
      <c r="O43" s="159"/>
      <c r="P43" s="159"/>
    </row>
    <row r="44" spans="1:16" ht="18.75" hidden="1">
      <c r="A44" s="158"/>
      <c r="B44" s="158"/>
      <c r="C44" s="159"/>
      <c r="E44" s="159"/>
      <c r="F44" s="159"/>
      <c r="G44" s="159"/>
      <c r="H44" s="163"/>
      <c r="I44" s="159"/>
      <c r="J44" s="159"/>
      <c r="K44" s="159"/>
      <c r="L44" s="159"/>
      <c r="M44" s="159"/>
      <c r="N44" s="159"/>
      <c r="O44" s="159"/>
      <c r="P44" s="159"/>
    </row>
    <row r="45" spans="1:16" ht="10.5" customHeight="1">
      <c r="A45" s="160"/>
      <c r="B45" s="160"/>
      <c r="C45" s="159"/>
      <c r="E45" s="159"/>
      <c r="F45" s="159"/>
      <c r="G45" s="159"/>
      <c r="H45" s="159"/>
      <c r="I45" s="159"/>
      <c r="J45" s="159"/>
      <c r="K45" s="159"/>
      <c r="L45" s="159"/>
      <c r="M45" s="159"/>
      <c r="N45" s="159"/>
      <c r="O45" s="159"/>
      <c r="P45" s="159"/>
    </row>
    <row r="46" spans="2:16" ht="21" customHeight="1">
      <c r="B46" s="370" t="s">
        <v>363</v>
      </c>
      <c r="C46" s="370"/>
      <c r="D46" s="370"/>
      <c r="E46" s="370"/>
      <c r="F46" s="370"/>
      <c r="G46" s="370"/>
      <c r="H46" s="370"/>
      <c r="I46" s="370"/>
      <c r="J46" s="370"/>
      <c r="K46" s="370"/>
      <c r="L46" s="370"/>
      <c r="M46" s="370"/>
      <c r="N46" s="370"/>
      <c r="O46" s="164"/>
      <c r="P46" s="164"/>
    </row>
    <row r="47" spans="1:16" ht="18.75">
      <c r="A47" s="160"/>
      <c r="B47" s="160"/>
      <c r="C47" s="159"/>
      <c r="E47" s="159"/>
      <c r="F47" s="159"/>
      <c r="G47" s="159"/>
      <c r="H47" s="159"/>
      <c r="I47" s="159"/>
      <c r="J47" s="159"/>
      <c r="K47" s="159"/>
      <c r="L47" s="159"/>
      <c r="M47" s="159"/>
      <c r="N47" s="159"/>
      <c r="O47" s="159"/>
      <c r="P47" s="159"/>
    </row>
    <row r="48" spans="1:16" ht="19.5" customHeight="1">
      <c r="A48" s="357" t="s">
        <v>107</v>
      </c>
      <c r="B48" s="357" t="s">
        <v>107</v>
      </c>
      <c r="C48" s="357" t="s">
        <v>31</v>
      </c>
      <c r="D48" s="305" t="s">
        <v>131</v>
      </c>
      <c r="E48" s="357" t="s">
        <v>132</v>
      </c>
      <c r="F48" s="357" t="s">
        <v>133</v>
      </c>
      <c r="G48" s="357" t="s">
        <v>134</v>
      </c>
      <c r="H48" s="357" t="s">
        <v>111</v>
      </c>
      <c r="I48" s="357"/>
      <c r="J48" s="357"/>
      <c r="K48" s="357"/>
      <c r="L48" s="357"/>
      <c r="M48" s="357"/>
      <c r="N48" s="357"/>
      <c r="O48" s="159"/>
      <c r="P48" s="159"/>
    </row>
    <row r="49" spans="1:16" ht="25.5" customHeight="1">
      <c r="A49" s="357"/>
      <c r="B49" s="357"/>
      <c r="C49" s="357"/>
      <c r="D49" s="305"/>
      <c r="E49" s="357"/>
      <c r="F49" s="357"/>
      <c r="G49" s="357"/>
      <c r="H49" s="357" t="s">
        <v>112</v>
      </c>
      <c r="I49" s="357"/>
      <c r="J49" s="357"/>
      <c r="K49" s="357" t="s">
        <v>113</v>
      </c>
      <c r="L49" s="357" t="s">
        <v>135</v>
      </c>
      <c r="M49" s="357" t="s">
        <v>114</v>
      </c>
      <c r="N49" s="357"/>
      <c r="O49" s="159"/>
      <c r="P49" s="159"/>
    </row>
    <row r="50" spans="1:16" ht="48.75" customHeight="1">
      <c r="A50" s="357"/>
      <c r="B50" s="357"/>
      <c r="C50" s="357"/>
      <c r="D50" s="305"/>
      <c r="E50" s="357"/>
      <c r="F50" s="357"/>
      <c r="G50" s="357"/>
      <c r="H50" s="357" t="s">
        <v>96</v>
      </c>
      <c r="I50" s="357" t="s">
        <v>351</v>
      </c>
      <c r="J50" s="357" t="s">
        <v>352</v>
      </c>
      <c r="K50" s="357"/>
      <c r="L50" s="357"/>
      <c r="M50" s="357"/>
      <c r="N50" s="357"/>
      <c r="O50" s="159"/>
      <c r="P50" s="159"/>
    </row>
    <row r="51" spans="1:16" ht="66" customHeight="1">
      <c r="A51" s="357"/>
      <c r="B51" s="357"/>
      <c r="C51" s="357"/>
      <c r="D51" s="305"/>
      <c r="E51" s="357"/>
      <c r="F51" s="357"/>
      <c r="G51" s="357"/>
      <c r="H51" s="357"/>
      <c r="I51" s="357"/>
      <c r="J51" s="357"/>
      <c r="K51" s="357"/>
      <c r="L51" s="357"/>
      <c r="M51" s="151" t="s">
        <v>96</v>
      </c>
      <c r="N51" s="151" t="s">
        <v>353</v>
      </c>
      <c r="O51" s="159"/>
      <c r="P51" s="159"/>
    </row>
    <row r="52" spans="1:16" ht="18.75">
      <c r="A52" s="151">
        <v>1</v>
      </c>
      <c r="B52" s="151">
        <v>1</v>
      </c>
      <c r="C52" s="151">
        <v>2</v>
      </c>
      <c r="D52" s="73">
        <v>3</v>
      </c>
      <c r="E52" s="151">
        <v>4</v>
      </c>
      <c r="F52" s="151">
        <v>5</v>
      </c>
      <c r="G52" s="151">
        <v>6</v>
      </c>
      <c r="H52" s="151">
        <v>7</v>
      </c>
      <c r="I52" s="151">
        <v>8</v>
      </c>
      <c r="J52" s="151">
        <v>9</v>
      </c>
      <c r="K52" s="151">
        <v>10</v>
      </c>
      <c r="L52" s="151">
        <v>11</v>
      </c>
      <c r="M52" s="151">
        <v>12</v>
      </c>
      <c r="N52" s="151">
        <v>13</v>
      </c>
      <c r="O52" s="159"/>
      <c r="P52" s="159"/>
    </row>
    <row r="53" spans="1:16" ht="32.25" customHeight="1">
      <c r="A53" s="151">
        <v>119</v>
      </c>
      <c r="B53" s="151">
        <v>119</v>
      </c>
      <c r="C53" s="151" t="s">
        <v>58</v>
      </c>
      <c r="D53" s="155" t="s">
        <v>364</v>
      </c>
      <c r="E53" s="151">
        <v>22</v>
      </c>
      <c r="F53" s="165">
        <f>'Раздел 1'!D43</f>
        <v>24096417.779999997</v>
      </c>
      <c r="G53" s="166">
        <f>'Раздел 1'!D46-G55-G56-G57</f>
        <v>5169274.590000001</v>
      </c>
      <c r="H53" s="166">
        <f>G53</f>
        <v>5169274.590000001</v>
      </c>
      <c r="I53" s="167">
        <f>'Раздел 1'!T46-I55-I56-I57</f>
        <v>4835200</v>
      </c>
      <c r="J53" s="167">
        <f>'Раздел 1'!L46-J55-J56-J57</f>
        <v>493100</v>
      </c>
      <c r="K53" s="151"/>
      <c r="L53" s="151"/>
      <c r="M53" s="151"/>
      <c r="N53" s="151"/>
      <c r="O53" s="159"/>
      <c r="P53" s="159"/>
    </row>
    <row r="54" spans="1:16" ht="44.25" customHeight="1">
      <c r="A54" s="151">
        <v>119</v>
      </c>
      <c r="B54" s="151">
        <v>119</v>
      </c>
      <c r="C54" s="151" t="s">
        <v>262</v>
      </c>
      <c r="D54" s="155" t="s">
        <v>365</v>
      </c>
      <c r="E54" s="151" t="s">
        <v>16</v>
      </c>
      <c r="F54" s="151" t="s">
        <v>16</v>
      </c>
      <c r="G54" s="168">
        <f>G55+G56</f>
        <v>747000</v>
      </c>
      <c r="H54" s="168">
        <f>G54</f>
        <v>747000</v>
      </c>
      <c r="I54" s="168">
        <f>I55+I56</f>
        <v>163200</v>
      </c>
      <c r="J54" s="168">
        <f>J55+J56</f>
        <v>16700</v>
      </c>
      <c r="K54" s="151"/>
      <c r="L54" s="151"/>
      <c r="M54" s="151"/>
      <c r="N54" s="151"/>
      <c r="O54" s="159"/>
      <c r="P54" s="159"/>
    </row>
    <row r="55" spans="1:16" ht="59.25" customHeight="1">
      <c r="A55" s="151">
        <v>119</v>
      </c>
      <c r="B55" s="151">
        <v>119</v>
      </c>
      <c r="C55" s="151" t="s">
        <v>136</v>
      </c>
      <c r="D55" s="161" t="s">
        <v>366</v>
      </c>
      <c r="E55" s="151">
        <v>2.9</v>
      </c>
      <c r="F55" s="166">
        <f>'Раздел 1'!D43</f>
        <v>24096417.779999997</v>
      </c>
      <c r="G55" s="154">
        <f>ROUND(F55*E55%,-2)</f>
        <v>698800</v>
      </c>
      <c r="H55" s="155">
        <f>G55</f>
        <v>698800</v>
      </c>
      <c r="I55" s="154">
        <f>ROUND(I59*E55%,-2)</f>
        <v>152700</v>
      </c>
      <c r="J55" s="154">
        <f>ROUND(J59*E55%,-2)</f>
        <v>15600</v>
      </c>
      <c r="K55" s="151"/>
      <c r="L55" s="151"/>
      <c r="M55" s="151"/>
      <c r="N55" s="151"/>
      <c r="O55" s="159"/>
      <c r="P55" s="159"/>
    </row>
    <row r="56" spans="1:16" ht="57.75" customHeight="1">
      <c r="A56" s="151">
        <v>119</v>
      </c>
      <c r="B56" s="151">
        <v>119</v>
      </c>
      <c r="C56" s="151" t="s">
        <v>141</v>
      </c>
      <c r="D56" s="161" t="s">
        <v>367</v>
      </c>
      <c r="E56" s="151">
        <v>0.2</v>
      </c>
      <c r="F56" s="166">
        <f>'Раздел 1'!D43</f>
        <v>24096417.779999997</v>
      </c>
      <c r="G56" s="154">
        <f>ROUND(F56*E56%,-2)</f>
        <v>48200</v>
      </c>
      <c r="H56" s="155">
        <f>G56</f>
        <v>48200</v>
      </c>
      <c r="I56" s="154">
        <f>ROUND(I59*E56%,-2)</f>
        <v>10500</v>
      </c>
      <c r="J56" s="154">
        <f>ROUND(J59*E56%,-2)</f>
        <v>1100</v>
      </c>
      <c r="K56" s="151"/>
      <c r="L56" s="151"/>
      <c r="M56" s="151"/>
      <c r="N56" s="151"/>
      <c r="O56" s="159"/>
      <c r="P56" s="159"/>
    </row>
    <row r="57" spans="1:16" ht="42.75" customHeight="1">
      <c r="A57" s="151">
        <v>119</v>
      </c>
      <c r="B57" s="151">
        <v>119</v>
      </c>
      <c r="C57" s="151" t="s">
        <v>354</v>
      </c>
      <c r="D57" s="155" t="s">
        <v>368</v>
      </c>
      <c r="E57" s="151">
        <v>5.1</v>
      </c>
      <c r="F57" s="166">
        <f>'Раздел 1'!D43</f>
        <v>24096417.779999997</v>
      </c>
      <c r="G57" s="154">
        <f>ROUND(F57*E57%,-2)</f>
        <v>1228900</v>
      </c>
      <c r="H57" s="155">
        <f>G57</f>
        <v>1228900</v>
      </c>
      <c r="I57" s="154">
        <f>ROUND(I59*E57%,-2)</f>
        <v>268600</v>
      </c>
      <c r="J57" s="154">
        <f>ROUND(J59*E57%,-2)</f>
        <v>27400</v>
      </c>
      <c r="K57" s="151"/>
      <c r="L57" s="151"/>
      <c r="M57" s="151"/>
      <c r="N57" s="151"/>
      <c r="O57" s="159"/>
      <c r="P57" s="159"/>
    </row>
    <row r="58" spans="1:16" ht="18.75">
      <c r="A58" s="151" t="s">
        <v>16</v>
      </c>
      <c r="B58" s="151" t="s">
        <v>16</v>
      </c>
      <c r="C58" s="151" t="s">
        <v>16</v>
      </c>
      <c r="D58" s="153" t="s">
        <v>29</v>
      </c>
      <c r="E58" s="151" t="s">
        <v>16</v>
      </c>
      <c r="F58" s="151" t="s">
        <v>16</v>
      </c>
      <c r="G58" s="157">
        <f>G53+G55+G56+G57</f>
        <v>7145174.590000001</v>
      </c>
      <c r="H58" s="157">
        <f>H53+H55+H56+H57</f>
        <v>7145174.590000001</v>
      </c>
      <c r="I58" s="157">
        <f>I53+I55+I56+I57</f>
        <v>5267000</v>
      </c>
      <c r="J58" s="157">
        <f>J53+J55+J56+J57</f>
        <v>537200</v>
      </c>
      <c r="K58" s="155"/>
      <c r="L58" s="155"/>
      <c r="M58" s="155"/>
      <c r="N58" s="155"/>
      <c r="O58" s="159"/>
      <c r="P58" s="159"/>
    </row>
    <row r="59" spans="1:16" ht="18.75">
      <c r="A59" s="158">
        <f>'Раздел 1'!D46-G58</f>
        <v>0</v>
      </c>
      <c r="B59" s="158"/>
      <c r="C59" s="159"/>
      <c r="E59" s="159"/>
      <c r="F59" s="159"/>
      <c r="G59" s="163"/>
      <c r="H59" s="159"/>
      <c r="I59" s="169">
        <f>'Раздел 1'!T46</f>
        <v>5267000</v>
      </c>
      <c r="J59" s="169">
        <f>'Раздел 1'!L46</f>
        <v>537200</v>
      </c>
      <c r="K59" s="159"/>
      <c r="L59" s="159"/>
      <c r="M59" s="159"/>
      <c r="N59" s="159"/>
      <c r="O59" s="159"/>
      <c r="P59" s="159"/>
    </row>
    <row r="60" spans="2:16" ht="48" customHeight="1">
      <c r="B60" s="366" t="s">
        <v>137</v>
      </c>
      <c r="C60" s="366"/>
      <c r="D60" s="366"/>
      <c r="E60" s="366"/>
      <c r="F60" s="366"/>
      <c r="G60" s="366"/>
      <c r="H60" s="366"/>
      <c r="I60" s="366"/>
      <c r="J60" s="366"/>
      <c r="K60" s="366"/>
      <c r="L60" s="366"/>
      <c r="M60" s="366"/>
      <c r="N60" s="366"/>
      <c r="O60" s="366"/>
      <c r="P60" s="366"/>
    </row>
    <row r="61" spans="1:16" ht="25.5" customHeight="1">
      <c r="A61" s="170"/>
      <c r="B61" s="170"/>
      <c r="C61" s="170"/>
      <c r="D61" s="171"/>
      <c r="E61" s="170"/>
      <c r="F61" s="170"/>
      <c r="G61" s="170"/>
      <c r="H61" s="170"/>
      <c r="I61" s="170"/>
      <c r="J61" s="170"/>
      <c r="K61" s="170"/>
      <c r="L61" s="170"/>
      <c r="M61" s="170"/>
      <c r="N61" s="170"/>
      <c r="O61" s="170"/>
      <c r="P61" s="170"/>
    </row>
    <row r="62" spans="2:16" ht="24" customHeight="1">
      <c r="B62" s="361" t="s">
        <v>138</v>
      </c>
      <c r="C62" s="361"/>
      <c r="D62" s="361"/>
      <c r="E62" s="361"/>
      <c r="F62" s="361"/>
      <c r="G62" s="361"/>
      <c r="H62" s="361"/>
      <c r="I62" s="361"/>
      <c r="J62" s="361"/>
      <c r="K62" s="361"/>
      <c r="L62" s="361"/>
      <c r="M62" s="361"/>
      <c r="N62" s="361"/>
      <c r="O62" s="159"/>
      <c r="P62" s="159"/>
    </row>
    <row r="63" spans="1:16" ht="18.75">
      <c r="A63" s="160"/>
      <c r="B63" s="160"/>
      <c r="C63" s="159"/>
      <c r="E63" s="159"/>
      <c r="F63" s="159"/>
      <c r="G63" s="159"/>
      <c r="H63" s="159"/>
      <c r="I63" s="159"/>
      <c r="J63" s="159"/>
      <c r="K63" s="159"/>
      <c r="L63" s="159"/>
      <c r="M63" s="159"/>
      <c r="N63" s="159"/>
      <c r="O63" s="159"/>
      <c r="P63" s="159"/>
    </row>
    <row r="64" spans="1:16" ht="20.25" customHeight="1">
      <c r="A64" s="357" t="s">
        <v>107</v>
      </c>
      <c r="B64" s="357" t="s">
        <v>107</v>
      </c>
      <c r="C64" s="357" t="s">
        <v>31</v>
      </c>
      <c r="D64" s="305" t="s">
        <v>8</v>
      </c>
      <c r="E64" s="357" t="s">
        <v>139</v>
      </c>
      <c r="F64" s="357" t="s">
        <v>140</v>
      </c>
      <c r="G64" s="357" t="s">
        <v>369</v>
      </c>
      <c r="H64" s="367" t="s">
        <v>111</v>
      </c>
      <c r="I64" s="368"/>
      <c r="J64" s="368"/>
      <c r="K64" s="368"/>
      <c r="L64" s="368"/>
      <c r="M64" s="368"/>
      <c r="N64" s="369"/>
      <c r="O64" s="159"/>
      <c r="P64" s="159"/>
    </row>
    <row r="65" spans="1:16" ht="48" customHeight="1">
      <c r="A65" s="357"/>
      <c r="B65" s="357"/>
      <c r="C65" s="357"/>
      <c r="D65" s="305"/>
      <c r="E65" s="357"/>
      <c r="F65" s="357"/>
      <c r="G65" s="357"/>
      <c r="H65" s="357" t="s">
        <v>112</v>
      </c>
      <c r="I65" s="357"/>
      <c r="J65" s="357"/>
      <c r="K65" s="357" t="s">
        <v>113</v>
      </c>
      <c r="L65" s="357" t="s">
        <v>135</v>
      </c>
      <c r="M65" s="357" t="s">
        <v>114</v>
      </c>
      <c r="N65" s="357"/>
      <c r="O65" s="159"/>
      <c r="P65" s="159"/>
    </row>
    <row r="66" spans="1:16" ht="39" customHeight="1">
      <c r="A66" s="357"/>
      <c r="B66" s="357"/>
      <c r="C66" s="357"/>
      <c r="D66" s="305"/>
      <c r="E66" s="357"/>
      <c r="F66" s="357"/>
      <c r="G66" s="357"/>
      <c r="H66" s="357" t="s">
        <v>96</v>
      </c>
      <c r="I66" s="357" t="s">
        <v>351</v>
      </c>
      <c r="J66" s="357" t="s">
        <v>352</v>
      </c>
      <c r="K66" s="357"/>
      <c r="L66" s="357"/>
      <c r="M66" s="357"/>
      <c r="N66" s="357"/>
      <c r="O66" s="159"/>
      <c r="P66" s="159"/>
    </row>
    <row r="67" spans="1:16" ht="49.5" customHeight="1">
      <c r="A67" s="357"/>
      <c r="B67" s="357"/>
      <c r="C67" s="357"/>
      <c r="D67" s="305"/>
      <c r="E67" s="357"/>
      <c r="F67" s="357"/>
      <c r="G67" s="357"/>
      <c r="H67" s="357"/>
      <c r="I67" s="357"/>
      <c r="J67" s="357"/>
      <c r="K67" s="357"/>
      <c r="L67" s="357"/>
      <c r="M67" s="151" t="s">
        <v>96</v>
      </c>
      <c r="N67" s="151" t="s">
        <v>353</v>
      </c>
      <c r="O67" s="159"/>
      <c r="P67" s="159"/>
    </row>
    <row r="68" spans="1:16" ht="18.75">
      <c r="A68" s="151">
        <v>1</v>
      </c>
      <c r="B68" s="151">
        <v>1</v>
      </c>
      <c r="C68" s="151">
        <v>2</v>
      </c>
      <c r="D68" s="73">
        <v>3</v>
      </c>
      <c r="E68" s="151">
        <v>4</v>
      </c>
      <c r="F68" s="151">
        <v>5</v>
      </c>
      <c r="G68" s="151">
        <v>6</v>
      </c>
      <c r="H68" s="151">
        <v>7</v>
      </c>
      <c r="I68" s="151">
        <v>8</v>
      </c>
      <c r="J68" s="151">
        <v>9</v>
      </c>
      <c r="K68" s="151">
        <v>10</v>
      </c>
      <c r="L68" s="151">
        <v>11</v>
      </c>
      <c r="M68" s="151">
        <v>12</v>
      </c>
      <c r="N68" s="151">
        <v>13</v>
      </c>
      <c r="O68" s="159"/>
      <c r="P68" s="159"/>
    </row>
    <row r="69" spans="1:16" ht="47.25" customHeight="1">
      <c r="A69" s="151"/>
      <c r="B69" s="151"/>
      <c r="C69" s="151" t="s">
        <v>58</v>
      </c>
      <c r="D69" s="155" t="s">
        <v>370</v>
      </c>
      <c r="E69" s="151" t="s">
        <v>203</v>
      </c>
      <c r="F69" s="151" t="s">
        <v>203</v>
      </c>
      <c r="G69" s="168">
        <f>G70</f>
        <v>463100</v>
      </c>
      <c r="H69" s="172"/>
      <c r="I69" s="172"/>
      <c r="J69" s="172"/>
      <c r="K69" s="172">
        <f>K70</f>
        <v>463100</v>
      </c>
      <c r="L69" s="167"/>
      <c r="M69" s="167"/>
      <c r="N69" s="167"/>
      <c r="O69" s="159"/>
      <c r="P69" s="159"/>
    </row>
    <row r="70" spans="1:16" ht="56.25" customHeight="1">
      <c r="A70" s="151"/>
      <c r="B70" s="151"/>
      <c r="C70" s="151" t="s">
        <v>124</v>
      </c>
      <c r="D70" s="161" t="s">
        <v>371</v>
      </c>
      <c r="E70" s="151" t="s">
        <v>203</v>
      </c>
      <c r="F70" s="151" t="s">
        <v>203</v>
      </c>
      <c r="G70" s="168">
        <f>G71</f>
        <v>463100</v>
      </c>
      <c r="H70" s="172"/>
      <c r="I70" s="172"/>
      <c r="J70" s="172"/>
      <c r="K70" s="172">
        <f>K71</f>
        <v>463100</v>
      </c>
      <c r="L70" s="167"/>
      <c r="M70" s="167"/>
      <c r="N70" s="167"/>
      <c r="O70" s="159"/>
      <c r="P70" s="159"/>
    </row>
    <row r="71" spans="1:16" ht="16.5" customHeight="1">
      <c r="A71" s="151">
        <v>112</v>
      </c>
      <c r="B71" s="151">
        <v>112</v>
      </c>
      <c r="C71" s="202" t="s">
        <v>146</v>
      </c>
      <c r="D71" s="201"/>
      <c r="E71" s="168">
        <f>G71/F71</f>
        <v>115775</v>
      </c>
      <c r="F71" s="151">
        <v>4</v>
      </c>
      <c r="G71" s="172">
        <f>'Раздел 1'!D44</f>
        <v>463100</v>
      </c>
      <c r="H71" s="172"/>
      <c r="I71" s="172"/>
      <c r="J71" s="172"/>
      <c r="K71" s="172">
        <f>G71</f>
        <v>463100</v>
      </c>
      <c r="L71" s="167"/>
      <c r="M71" s="167"/>
      <c r="N71" s="167"/>
      <c r="O71" s="159"/>
      <c r="P71" s="159"/>
    </row>
    <row r="72" spans="1:14" s="159" customFormat="1" ht="16.5" customHeight="1">
      <c r="A72" s="243">
        <v>321</v>
      </c>
      <c r="B72" s="243">
        <v>321</v>
      </c>
      <c r="C72" s="243"/>
      <c r="D72" s="244" t="s">
        <v>544</v>
      </c>
      <c r="E72" s="243"/>
      <c r="F72" s="243"/>
      <c r="G72" s="243">
        <f>31809.68+13777.52</f>
        <v>45587.2</v>
      </c>
      <c r="H72" s="245"/>
      <c r="I72" s="245"/>
      <c r="J72" s="245"/>
      <c r="K72" s="245">
        <f>G72</f>
        <v>45587.2</v>
      </c>
      <c r="L72" s="245"/>
      <c r="M72" s="245"/>
      <c r="N72" s="245"/>
    </row>
    <row r="73" spans="1:16" ht="18.75">
      <c r="A73" s="151"/>
      <c r="B73" s="151"/>
      <c r="C73" s="151" t="s">
        <v>262</v>
      </c>
      <c r="D73" s="155" t="s">
        <v>372</v>
      </c>
      <c r="E73" s="151" t="s">
        <v>203</v>
      </c>
      <c r="F73" s="151" t="s">
        <v>203</v>
      </c>
      <c r="G73" s="151"/>
      <c r="H73" s="167"/>
      <c r="I73" s="167"/>
      <c r="J73" s="167"/>
      <c r="K73" s="167"/>
      <c r="L73" s="167"/>
      <c r="M73" s="167"/>
      <c r="N73" s="167"/>
      <c r="O73" s="159"/>
      <c r="P73" s="159"/>
    </row>
    <row r="74" spans="1:16" ht="15" customHeight="1">
      <c r="A74" s="151"/>
      <c r="B74" s="151"/>
      <c r="C74" s="151" t="s">
        <v>136</v>
      </c>
      <c r="D74" s="161" t="s">
        <v>373</v>
      </c>
      <c r="E74" s="151"/>
      <c r="F74" s="151"/>
      <c r="G74" s="151"/>
      <c r="H74" s="167"/>
      <c r="I74" s="167"/>
      <c r="J74" s="167"/>
      <c r="K74" s="167"/>
      <c r="L74" s="167"/>
      <c r="M74" s="167"/>
      <c r="N74" s="167"/>
      <c r="O74" s="159"/>
      <c r="P74" s="159"/>
    </row>
    <row r="75" spans="1:16" ht="15" customHeight="1">
      <c r="A75" s="151"/>
      <c r="B75" s="151"/>
      <c r="C75" s="151" t="s">
        <v>141</v>
      </c>
      <c r="D75" s="161" t="s">
        <v>374</v>
      </c>
      <c r="E75" s="151"/>
      <c r="F75" s="151"/>
      <c r="G75" s="151"/>
      <c r="H75" s="167"/>
      <c r="I75" s="167"/>
      <c r="J75" s="167"/>
      <c r="K75" s="167"/>
      <c r="L75" s="167"/>
      <c r="M75" s="167"/>
      <c r="N75" s="167"/>
      <c r="O75" s="159"/>
      <c r="P75" s="159"/>
    </row>
    <row r="76" spans="1:16" ht="15" customHeight="1">
      <c r="A76" s="151"/>
      <c r="B76" s="151"/>
      <c r="C76" s="151"/>
      <c r="D76" s="161"/>
      <c r="E76" s="151"/>
      <c r="F76" s="151"/>
      <c r="G76" s="151"/>
      <c r="H76" s="167"/>
      <c r="I76" s="167"/>
      <c r="J76" s="167"/>
      <c r="K76" s="167"/>
      <c r="L76" s="167"/>
      <c r="M76" s="167"/>
      <c r="N76" s="167"/>
      <c r="O76" s="159"/>
      <c r="P76" s="159"/>
    </row>
    <row r="77" spans="1:16" ht="29.25" customHeight="1">
      <c r="A77" s="151"/>
      <c r="B77" s="151"/>
      <c r="C77" s="151" t="s">
        <v>354</v>
      </c>
      <c r="D77" s="155" t="s">
        <v>375</v>
      </c>
      <c r="E77" s="151" t="s">
        <v>203</v>
      </c>
      <c r="F77" s="151" t="s">
        <v>203</v>
      </c>
      <c r="G77" s="167">
        <f>G79</f>
        <v>41000</v>
      </c>
      <c r="H77" s="167"/>
      <c r="I77" s="167"/>
      <c r="J77" s="167"/>
      <c r="K77" s="167">
        <f>K79</f>
        <v>41000</v>
      </c>
      <c r="L77" s="167"/>
      <c r="M77" s="167"/>
      <c r="N77" s="167"/>
      <c r="O77" s="159"/>
      <c r="P77" s="159"/>
    </row>
    <row r="78" spans="1:14" s="159" customFormat="1" ht="16.5" customHeight="1">
      <c r="A78" s="243">
        <v>323</v>
      </c>
      <c r="B78" s="243">
        <v>323</v>
      </c>
      <c r="C78" s="279"/>
      <c r="D78" s="244" t="str">
        <f>'[2]Раздел 1'!A55</f>
        <v>иные налоги (включаемые в состав расходов) в бюджеты бюджетной системы Российской Федерации, а также государственная пошлина</v>
      </c>
      <c r="E78" s="280"/>
      <c r="F78" s="243"/>
      <c r="G78" s="281">
        <f>K78</f>
        <v>0</v>
      </c>
      <c r="H78" s="281"/>
      <c r="I78" s="281"/>
      <c r="J78" s="281"/>
      <c r="K78" s="281"/>
      <c r="L78" s="245"/>
      <c r="M78" s="245"/>
      <c r="N78" s="245"/>
    </row>
    <row r="79" spans="1:16" ht="17.25" customHeight="1">
      <c r="A79" s="151"/>
      <c r="B79" s="151"/>
      <c r="C79" s="161"/>
      <c r="D79" s="162" t="str">
        <f>'Раздел 1'!A50</f>
        <v>приобретение товаров, работ и услуг в пользу граждан в целях их социального обеспечения</v>
      </c>
      <c r="E79" s="151"/>
      <c r="F79" s="151"/>
      <c r="G79" s="167">
        <f>K79</f>
        <v>41000</v>
      </c>
      <c r="H79" s="167"/>
      <c r="I79" s="167"/>
      <c r="J79" s="167"/>
      <c r="K79" s="167">
        <f>'Раздел 1'!D50</f>
        <v>41000</v>
      </c>
      <c r="L79" s="167"/>
      <c r="M79" s="167"/>
      <c r="N79" s="167"/>
      <c r="O79" s="159"/>
      <c r="P79" s="159"/>
    </row>
    <row r="80" spans="1:16" ht="17.25" customHeight="1">
      <c r="A80" s="151" t="s">
        <v>203</v>
      </c>
      <c r="B80" s="151" t="s">
        <v>203</v>
      </c>
      <c r="C80" s="151" t="s">
        <v>203</v>
      </c>
      <c r="D80" s="153" t="s">
        <v>29</v>
      </c>
      <c r="E80" s="151" t="s">
        <v>16</v>
      </c>
      <c r="F80" s="151" t="s">
        <v>16</v>
      </c>
      <c r="G80" s="151">
        <f>G69+G73+G77+G72</f>
        <v>549687.2</v>
      </c>
      <c r="H80" s="167"/>
      <c r="I80" s="167"/>
      <c r="J80" s="167"/>
      <c r="K80" s="167">
        <f>K69+K73+K77+K72</f>
        <v>549687.2</v>
      </c>
      <c r="L80" s="167"/>
      <c r="M80" s="167"/>
      <c r="N80" s="167"/>
      <c r="O80" s="159"/>
      <c r="P80" s="159"/>
    </row>
    <row r="81" spans="1:16" s="25" customFormat="1" ht="18.75">
      <c r="A81" s="174">
        <f>'Раздел 1'!D44+'Раздел 1'!D49-G80+'Раздел 1'!D50</f>
        <v>5.820766091346741E-11</v>
      </c>
      <c r="B81" s="174"/>
      <c r="C81" s="74"/>
      <c r="D81" s="175"/>
      <c r="E81" s="176"/>
      <c r="F81" s="176"/>
      <c r="G81" s="174"/>
      <c r="H81" s="74"/>
      <c r="I81" s="74"/>
      <c r="J81" s="74"/>
      <c r="K81" s="74"/>
      <c r="L81" s="74"/>
      <c r="M81" s="74"/>
      <c r="N81" s="74"/>
      <c r="O81" s="177"/>
      <c r="P81" s="177"/>
    </row>
    <row r="82" spans="2:16" s="25" customFormat="1" ht="18.75">
      <c r="B82" s="363" t="s">
        <v>143</v>
      </c>
      <c r="C82" s="363"/>
      <c r="D82" s="363"/>
      <c r="E82" s="363"/>
      <c r="F82" s="363"/>
      <c r="G82" s="363"/>
      <c r="H82" s="363"/>
      <c r="I82" s="363"/>
      <c r="J82" s="363"/>
      <c r="K82" s="363"/>
      <c r="L82" s="363"/>
      <c r="M82" s="363"/>
      <c r="N82" s="363"/>
      <c r="O82" s="177"/>
      <c r="P82" s="177"/>
    </row>
    <row r="83" spans="1:16" ht="18.75" hidden="1">
      <c r="A83" s="178"/>
      <c r="B83" s="178"/>
      <c r="C83" s="159"/>
      <c r="E83" s="159"/>
      <c r="F83" s="159"/>
      <c r="G83" s="159"/>
      <c r="H83" s="159"/>
      <c r="I83" s="159"/>
      <c r="J83" s="159"/>
      <c r="K83" s="159"/>
      <c r="L83" s="159"/>
      <c r="M83" s="159"/>
      <c r="N83" s="159"/>
      <c r="O83" s="159"/>
      <c r="P83" s="159"/>
    </row>
    <row r="84" spans="2:16" ht="18.75">
      <c r="B84" s="361" t="s">
        <v>376</v>
      </c>
      <c r="C84" s="361"/>
      <c r="D84" s="361"/>
      <c r="E84" s="361"/>
      <c r="F84" s="361"/>
      <c r="G84" s="361"/>
      <c r="H84" s="361"/>
      <c r="I84" s="361"/>
      <c r="J84" s="361"/>
      <c r="K84" s="361"/>
      <c r="L84" s="361"/>
      <c r="M84" s="361"/>
      <c r="N84" s="361"/>
      <c r="O84" s="159"/>
      <c r="P84" s="159"/>
    </row>
    <row r="85" spans="1:16" ht="18.75" hidden="1">
      <c r="A85" s="160"/>
      <c r="B85" s="160"/>
      <c r="C85" s="159"/>
      <c r="E85" s="159"/>
      <c r="F85" s="159"/>
      <c r="G85" s="159"/>
      <c r="H85" s="159"/>
      <c r="I85" s="159"/>
      <c r="J85" s="159"/>
      <c r="K85" s="159"/>
      <c r="L85" s="159"/>
      <c r="M85" s="159"/>
      <c r="N85" s="159"/>
      <c r="O85" s="159"/>
      <c r="P85" s="159"/>
    </row>
    <row r="86" spans="1:16" ht="27.75" customHeight="1">
      <c r="A86" s="357" t="s">
        <v>107</v>
      </c>
      <c r="B86" s="357" t="s">
        <v>107</v>
      </c>
      <c r="C86" s="357" t="s">
        <v>31</v>
      </c>
      <c r="D86" s="305" t="s">
        <v>30</v>
      </c>
      <c r="E86" s="357" t="s">
        <v>144</v>
      </c>
      <c r="F86" s="357" t="s">
        <v>145</v>
      </c>
      <c r="G86" s="357" t="s">
        <v>493</v>
      </c>
      <c r="H86" s="357" t="s">
        <v>111</v>
      </c>
      <c r="I86" s="357"/>
      <c r="J86" s="357"/>
      <c r="K86" s="357"/>
      <c r="L86" s="357"/>
      <c r="M86" s="357"/>
      <c r="N86" s="357"/>
      <c r="O86" s="159"/>
      <c r="P86" s="159"/>
    </row>
    <row r="87" spans="1:16" ht="32.25" customHeight="1">
      <c r="A87" s="357"/>
      <c r="B87" s="357"/>
      <c r="C87" s="357"/>
      <c r="D87" s="305"/>
      <c r="E87" s="357"/>
      <c r="F87" s="357"/>
      <c r="G87" s="357"/>
      <c r="H87" s="357" t="s">
        <v>112</v>
      </c>
      <c r="I87" s="357"/>
      <c r="J87" s="357"/>
      <c r="K87" s="357" t="s">
        <v>113</v>
      </c>
      <c r="L87" s="357" t="s">
        <v>135</v>
      </c>
      <c r="M87" s="357" t="s">
        <v>114</v>
      </c>
      <c r="N87" s="357"/>
      <c r="O87" s="159"/>
      <c r="P87" s="159"/>
    </row>
    <row r="88" spans="1:16" ht="27.75" customHeight="1">
      <c r="A88" s="357"/>
      <c r="B88" s="357"/>
      <c r="C88" s="357"/>
      <c r="D88" s="305"/>
      <c r="E88" s="357"/>
      <c r="F88" s="357"/>
      <c r="G88" s="357"/>
      <c r="H88" s="357" t="s">
        <v>96</v>
      </c>
      <c r="I88" s="357" t="s">
        <v>351</v>
      </c>
      <c r="J88" s="357" t="s">
        <v>352</v>
      </c>
      <c r="K88" s="357"/>
      <c r="L88" s="357"/>
      <c r="M88" s="357"/>
      <c r="N88" s="357"/>
      <c r="O88" s="159"/>
      <c r="P88" s="159"/>
    </row>
    <row r="89" spans="1:16" ht="89.25" customHeight="1">
      <c r="A89" s="357"/>
      <c r="B89" s="357"/>
      <c r="C89" s="357"/>
      <c r="D89" s="305"/>
      <c r="E89" s="357"/>
      <c r="F89" s="357"/>
      <c r="G89" s="357"/>
      <c r="H89" s="357"/>
      <c r="I89" s="357"/>
      <c r="J89" s="357"/>
      <c r="K89" s="357"/>
      <c r="L89" s="357"/>
      <c r="M89" s="151" t="s">
        <v>96</v>
      </c>
      <c r="N89" s="151" t="s">
        <v>353</v>
      </c>
      <c r="O89" s="159"/>
      <c r="P89" s="159"/>
    </row>
    <row r="90" spans="1:16" ht="18.75">
      <c r="A90" s="151">
        <v>1</v>
      </c>
      <c r="B90" s="151">
        <v>1</v>
      </c>
      <c r="C90" s="151">
        <v>2</v>
      </c>
      <c r="D90" s="73">
        <v>3</v>
      </c>
      <c r="E90" s="151">
        <v>4</v>
      </c>
      <c r="F90" s="151">
        <v>5</v>
      </c>
      <c r="G90" s="151">
        <v>6</v>
      </c>
      <c r="H90" s="151">
        <v>7</v>
      </c>
      <c r="I90" s="151">
        <v>8</v>
      </c>
      <c r="J90" s="151">
        <v>9</v>
      </c>
      <c r="K90" s="151">
        <v>10</v>
      </c>
      <c r="L90" s="151">
        <v>11</v>
      </c>
      <c r="M90" s="151">
        <v>12</v>
      </c>
      <c r="N90" s="151">
        <v>13</v>
      </c>
      <c r="O90" s="159"/>
      <c r="P90" s="159"/>
    </row>
    <row r="91" spans="1:16" ht="31.5">
      <c r="A91" s="155"/>
      <c r="B91" s="155"/>
      <c r="C91" s="152" t="s">
        <v>58</v>
      </c>
      <c r="D91" s="153" t="s">
        <v>377</v>
      </c>
      <c r="E91" s="151" t="s">
        <v>16</v>
      </c>
      <c r="F91" s="151" t="s">
        <v>16</v>
      </c>
      <c r="G91" s="151"/>
      <c r="H91" s="151"/>
      <c r="I91" s="151"/>
      <c r="J91" s="151"/>
      <c r="K91" s="151"/>
      <c r="L91" s="151"/>
      <c r="M91" s="151"/>
      <c r="N91" s="151"/>
      <c r="O91" s="159"/>
      <c r="P91" s="159"/>
    </row>
    <row r="92" spans="1:16" ht="31.5">
      <c r="A92" s="151">
        <v>851</v>
      </c>
      <c r="B92" s="151">
        <v>851</v>
      </c>
      <c r="C92" s="161" t="s">
        <v>124</v>
      </c>
      <c r="D92" s="162" t="s">
        <v>378</v>
      </c>
      <c r="E92" s="151" t="s">
        <v>203</v>
      </c>
      <c r="F92" s="151" t="s">
        <v>203</v>
      </c>
      <c r="G92" s="151"/>
      <c r="H92" s="151"/>
      <c r="I92" s="151"/>
      <c r="J92" s="151"/>
      <c r="K92" s="151"/>
      <c r="L92" s="151"/>
      <c r="M92" s="151"/>
      <c r="N92" s="151"/>
      <c r="O92" s="159"/>
      <c r="P92" s="159"/>
    </row>
    <row r="93" spans="1:16" ht="18.75">
      <c r="A93" s="151"/>
      <c r="B93" s="151"/>
      <c r="C93" s="173" t="s">
        <v>146</v>
      </c>
      <c r="D93" s="35" t="s">
        <v>147</v>
      </c>
      <c r="E93" s="151"/>
      <c r="F93" s="151">
        <v>2.2</v>
      </c>
      <c r="G93" s="151">
        <f>3148752-756652-200</f>
        <v>2391900</v>
      </c>
      <c r="H93" s="151">
        <f>J93</f>
        <v>2392100</v>
      </c>
      <c r="I93" s="151"/>
      <c r="J93" s="151">
        <v>2392100</v>
      </c>
      <c r="K93" s="151"/>
      <c r="L93" s="151"/>
      <c r="M93" s="151"/>
      <c r="N93" s="151"/>
      <c r="O93" s="159"/>
      <c r="P93" s="159"/>
    </row>
    <row r="94" spans="1:16" ht="18.75" customHeight="1">
      <c r="A94" s="151"/>
      <c r="B94" s="151"/>
      <c r="C94" s="155"/>
      <c r="D94" s="35"/>
      <c r="E94" s="151"/>
      <c r="F94" s="151"/>
      <c r="G94" s="151"/>
      <c r="H94" s="151"/>
      <c r="I94" s="151"/>
      <c r="J94" s="151"/>
      <c r="K94" s="151"/>
      <c r="L94" s="151"/>
      <c r="M94" s="151"/>
      <c r="N94" s="151"/>
      <c r="O94" s="159"/>
      <c r="P94" s="159"/>
    </row>
    <row r="95" spans="1:16" ht="31.5">
      <c r="A95" s="151"/>
      <c r="B95" s="151"/>
      <c r="C95" s="161" t="s">
        <v>125</v>
      </c>
      <c r="D95" s="162" t="s">
        <v>379</v>
      </c>
      <c r="E95" s="151" t="s">
        <v>203</v>
      </c>
      <c r="F95" s="151" t="s">
        <v>203</v>
      </c>
      <c r="G95" s="151"/>
      <c r="H95" s="151"/>
      <c r="I95" s="151"/>
      <c r="J95" s="151"/>
      <c r="K95" s="151"/>
      <c r="L95" s="151"/>
      <c r="M95" s="151"/>
      <c r="N95" s="151"/>
      <c r="O95" s="159"/>
      <c r="P95" s="159"/>
    </row>
    <row r="96" spans="1:16" ht="18.75">
      <c r="A96" s="151"/>
      <c r="B96" s="151"/>
      <c r="C96" s="173" t="s">
        <v>148</v>
      </c>
      <c r="D96" s="35" t="s">
        <v>147</v>
      </c>
      <c r="E96" s="151"/>
      <c r="F96" s="151"/>
      <c r="G96" s="151"/>
      <c r="H96" s="151"/>
      <c r="I96" s="151"/>
      <c r="J96" s="151"/>
      <c r="K96" s="151"/>
      <c r="L96" s="151"/>
      <c r="M96" s="151"/>
      <c r="N96" s="151"/>
      <c r="O96" s="159"/>
      <c r="P96" s="159"/>
    </row>
    <row r="97" spans="1:16" ht="18.75" customHeight="1">
      <c r="A97" s="151"/>
      <c r="B97" s="151"/>
      <c r="C97" s="151"/>
      <c r="D97" s="35"/>
      <c r="E97" s="151"/>
      <c r="F97" s="151"/>
      <c r="G97" s="151"/>
      <c r="H97" s="151"/>
      <c r="I97" s="151"/>
      <c r="J97" s="151"/>
      <c r="K97" s="151"/>
      <c r="L97" s="151"/>
      <c r="M97" s="151"/>
      <c r="N97" s="151"/>
      <c r="O97" s="159"/>
      <c r="P97" s="159"/>
    </row>
    <row r="98" spans="1:16" ht="18.75">
      <c r="A98" s="151"/>
      <c r="B98" s="151"/>
      <c r="C98" s="152" t="s">
        <v>262</v>
      </c>
      <c r="D98" s="153" t="s">
        <v>380</v>
      </c>
      <c r="E98" s="151" t="s">
        <v>203</v>
      </c>
      <c r="F98" s="151" t="s">
        <v>203</v>
      </c>
      <c r="G98" s="168">
        <f>G99</f>
        <v>0</v>
      </c>
      <c r="H98" s="168"/>
      <c r="I98" s="168"/>
      <c r="J98" s="168"/>
      <c r="K98" s="151"/>
      <c r="L98" s="151"/>
      <c r="M98" s="151"/>
      <c r="N98" s="151"/>
      <c r="O98" s="159"/>
      <c r="P98" s="159"/>
    </row>
    <row r="99" spans="1:16" ht="18.75">
      <c r="A99" s="151">
        <v>851</v>
      </c>
      <c r="B99" s="151">
        <v>851</v>
      </c>
      <c r="C99" s="161" t="s">
        <v>136</v>
      </c>
      <c r="D99" s="162" t="s">
        <v>381</v>
      </c>
      <c r="E99" s="151">
        <f>G99/F99</f>
        <v>0</v>
      </c>
      <c r="F99" s="179">
        <v>0.001</v>
      </c>
      <c r="G99" s="168"/>
      <c r="H99" s="168"/>
      <c r="I99" s="168"/>
      <c r="J99" s="168"/>
      <c r="K99" s="151"/>
      <c r="L99" s="151"/>
      <c r="M99" s="151"/>
      <c r="N99" s="151"/>
      <c r="O99" s="159"/>
      <c r="P99" s="159"/>
    </row>
    <row r="100" spans="1:16" ht="18.75">
      <c r="A100" s="155"/>
      <c r="B100" s="155"/>
      <c r="C100" s="173" t="s">
        <v>382</v>
      </c>
      <c r="D100" s="35"/>
      <c r="E100" s="151"/>
      <c r="F100" s="151"/>
      <c r="G100" s="168"/>
      <c r="H100" s="168"/>
      <c r="I100" s="168"/>
      <c r="J100" s="168"/>
      <c r="K100" s="151"/>
      <c r="L100" s="151"/>
      <c r="M100" s="151"/>
      <c r="N100" s="151"/>
      <c r="O100" s="159"/>
      <c r="P100" s="159"/>
    </row>
    <row r="101" spans="1:16" ht="18.75">
      <c r="A101" s="155"/>
      <c r="B101" s="155"/>
      <c r="C101" s="151"/>
      <c r="D101" s="35"/>
      <c r="E101" s="151"/>
      <c r="F101" s="151"/>
      <c r="G101" s="168"/>
      <c r="H101" s="168"/>
      <c r="I101" s="168"/>
      <c r="J101" s="168"/>
      <c r="K101" s="151"/>
      <c r="L101" s="151"/>
      <c r="M101" s="151"/>
      <c r="N101" s="151"/>
      <c r="O101" s="159"/>
      <c r="P101" s="159"/>
    </row>
    <row r="102" spans="1:16" ht="18.75">
      <c r="A102" s="151" t="s">
        <v>16</v>
      </c>
      <c r="B102" s="151" t="s">
        <v>16</v>
      </c>
      <c r="C102" s="151" t="s">
        <v>16</v>
      </c>
      <c r="D102" s="153" t="s">
        <v>29</v>
      </c>
      <c r="E102" s="151" t="s">
        <v>16</v>
      </c>
      <c r="F102" s="151" t="s">
        <v>16</v>
      </c>
      <c r="G102" s="168">
        <f>G93</f>
        <v>2391900</v>
      </c>
      <c r="H102" s="168">
        <f>H93</f>
        <v>2392100</v>
      </c>
      <c r="I102" s="168"/>
      <c r="J102" s="168">
        <f>J93</f>
        <v>2392100</v>
      </c>
      <c r="K102" s="151"/>
      <c r="L102" s="151"/>
      <c r="M102" s="151"/>
      <c r="N102" s="151"/>
      <c r="O102" s="159"/>
      <c r="P102" s="159"/>
    </row>
    <row r="103" spans="1:16" s="25" customFormat="1" ht="18.75">
      <c r="A103" s="174">
        <f>'Раздел 1'!D53-G93-G99</f>
        <v>0</v>
      </c>
      <c r="B103" s="174"/>
      <c r="C103" s="74"/>
      <c r="D103" s="175"/>
      <c r="E103" s="176"/>
      <c r="F103" s="176"/>
      <c r="G103" s="74"/>
      <c r="H103" s="74"/>
      <c r="I103" s="74"/>
      <c r="J103" s="176"/>
      <c r="K103" s="74"/>
      <c r="L103" s="74"/>
      <c r="M103" s="74"/>
      <c r="N103" s="74"/>
      <c r="O103" s="177"/>
      <c r="P103" s="177"/>
    </row>
    <row r="104" spans="2:16" s="25" customFormat="1" ht="18.75">
      <c r="B104" s="363" t="s">
        <v>149</v>
      </c>
      <c r="C104" s="363"/>
      <c r="D104" s="363"/>
      <c r="E104" s="363"/>
      <c r="F104" s="363"/>
      <c r="G104" s="363"/>
      <c r="H104" s="363"/>
      <c r="I104" s="363"/>
      <c r="J104" s="363"/>
      <c r="K104" s="363"/>
      <c r="L104" s="363"/>
      <c r="M104" s="363"/>
      <c r="N104" s="363"/>
      <c r="O104" s="177"/>
      <c r="P104" s="177"/>
    </row>
    <row r="105" spans="1:16" ht="18.75">
      <c r="A105" s="160"/>
      <c r="B105" s="160"/>
      <c r="C105" s="159"/>
      <c r="E105" s="159"/>
      <c r="F105" s="159"/>
      <c r="G105" s="159"/>
      <c r="H105" s="159"/>
      <c r="I105" s="159"/>
      <c r="J105" s="159"/>
      <c r="K105" s="159"/>
      <c r="L105" s="159"/>
      <c r="M105" s="159"/>
      <c r="N105" s="159"/>
      <c r="O105" s="159"/>
      <c r="P105" s="159"/>
    </row>
    <row r="106" spans="1:16" ht="33.75" customHeight="1" hidden="1">
      <c r="A106" s="357" t="s">
        <v>107</v>
      </c>
      <c r="B106" s="357" t="s">
        <v>107</v>
      </c>
      <c r="C106" s="357" t="s">
        <v>31</v>
      </c>
      <c r="D106" s="305" t="s">
        <v>30</v>
      </c>
      <c r="E106" s="357" t="s">
        <v>144</v>
      </c>
      <c r="F106" s="357" t="s">
        <v>145</v>
      </c>
      <c r="G106" s="357" t="s">
        <v>494</v>
      </c>
      <c r="H106" s="357" t="s">
        <v>111</v>
      </c>
      <c r="I106" s="357"/>
      <c r="J106" s="357"/>
      <c r="K106" s="357"/>
      <c r="L106" s="357"/>
      <c r="M106" s="357"/>
      <c r="N106" s="357"/>
      <c r="O106" s="159"/>
      <c r="P106" s="159"/>
    </row>
    <row r="107" spans="1:16" ht="28.5" customHeight="1" hidden="1">
      <c r="A107" s="357"/>
      <c r="B107" s="357"/>
      <c r="C107" s="357"/>
      <c r="D107" s="305"/>
      <c r="E107" s="357"/>
      <c r="F107" s="357"/>
      <c r="G107" s="357"/>
      <c r="H107" s="357" t="s">
        <v>112</v>
      </c>
      <c r="I107" s="357"/>
      <c r="J107" s="357"/>
      <c r="K107" s="357" t="s">
        <v>113</v>
      </c>
      <c r="L107" s="357" t="s">
        <v>135</v>
      </c>
      <c r="M107" s="357" t="s">
        <v>114</v>
      </c>
      <c r="N107" s="357"/>
      <c r="O107" s="159"/>
      <c r="P107" s="159"/>
    </row>
    <row r="108" spans="1:16" ht="38.25" customHeight="1" hidden="1">
      <c r="A108" s="357"/>
      <c r="B108" s="357"/>
      <c r="C108" s="357"/>
      <c r="D108" s="305"/>
      <c r="E108" s="357"/>
      <c r="F108" s="357"/>
      <c r="G108" s="357"/>
      <c r="H108" s="357" t="s">
        <v>96</v>
      </c>
      <c r="I108" s="357" t="s">
        <v>351</v>
      </c>
      <c r="J108" s="357" t="s">
        <v>352</v>
      </c>
      <c r="K108" s="357"/>
      <c r="L108" s="357"/>
      <c r="M108" s="357"/>
      <c r="N108" s="357"/>
      <c r="O108" s="159"/>
      <c r="P108" s="159"/>
    </row>
    <row r="109" spans="1:16" ht="67.5" customHeight="1" hidden="1">
      <c r="A109" s="357"/>
      <c r="B109" s="357"/>
      <c r="C109" s="357"/>
      <c r="D109" s="305"/>
      <c r="E109" s="357"/>
      <c r="F109" s="357"/>
      <c r="G109" s="357"/>
      <c r="H109" s="357"/>
      <c r="I109" s="357"/>
      <c r="J109" s="357"/>
      <c r="K109" s="357"/>
      <c r="L109" s="357"/>
      <c r="M109" s="151" t="s">
        <v>96</v>
      </c>
      <c r="N109" s="151" t="s">
        <v>353</v>
      </c>
      <c r="O109" s="159"/>
      <c r="P109" s="159"/>
    </row>
    <row r="110" spans="1:16" ht="18.75" hidden="1">
      <c r="A110" s="151">
        <v>1</v>
      </c>
      <c r="B110" s="151">
        <v>1</v>
      </c>
      <c r="C110" s="151">
        <v>2</v>
      </c>
      <c r="D110" s="73">
        <v>3</v>
      </c>
      <c r="E110" s="151">
        <v>4</v>
      </c>
      <c r="F110" s="151">
        <v>5</v>
      </c>
      <c r="G110" s="151">
        <v>6</v>
      </c>
      <c r="H110" s="151">
        <v>7</v>
      </c>
      <c r="I110" s="151">
        <v>8</v>
      </c>
      <c r="J110" s="151">
        <v>9</v>
      </c>
      <c r="K110" s="151">
        <v>10</v>
      </c>
      <c r="L110" s="151">
        <v>11</v>
      </c>
      <c r="M110" s="151">
        <v>12</v>
      </c>
      <c r="N110" s="151">
        <v>13</v>
      </c>
      <c r="O110" s="159"/>
      <c r="P110" s="159"/>
    </row>
    <row r="111" spans="1:16" ht="18.75" hidden="1">
      <c r="A111" s="151"/>
      <c r="B111" s="151"/>
      <c r="C111" s="152" t="s">
        <v>58</v>
      </c>
      <c r="D111" s="153" t="s">
        <v>150</v>
      </c>
      <c r="E111" s="151" t="s">
        <v>16</v>
      </c>
      <c r="F111" s="151" t="s">
        <v>16</v>
      </c>
      <c r="G111" s="155"/>
      <c r="H111" s="151"/>
      <c r="I111" s="151"/>
      <c r="J111" s="151"/>
      <c r="K111" s="151"/>
      <c r="L111" s="151"/>
      <c r="M111" s="151"/>
      <c r="N111" s="151"/>
      <c r="O111" s="159"/>
      <c r="P111" s="159"/>
    </row>
    <row r="112" spans="1:16" ht="18.75" hidden="1">
      <c r="A112" s="151"/>
      <c r="B112" s="151"/>
      <c r="C112" s="161" t="s">
        <v>124</v>
      </c>
      <c r="D112" s="162" t="s">
        <v>383</v>
      </c>
      <c r="E112" s="151" t="s">
        <v>16</v>
      </c>
      <c r="F112" s="151" t="s">
        <v>16</v>
      </c>
      <c r="G112" s="155"/>
      <c r="H112" s="151"/>
      <c r="I112" s="151"/>
      <c r="J112" s="151"/>
      <c r="K112" s="151"/>
      <c r="L112" s="151"/>
      <c r="M112" s="151"/>
      <c r="N112" s="151"/>
      <c r="O112" s="159"/>
      <c r="P112" s="159"/>
    </row>
    <row r="113" spans="1:16" ht="18.75" hidden="1">
      <c r="A113" s="151"/>
      <c r="B113" s="151"/>
      <c r="C113" s="173" t="s">
        <v>146</v>
      </c>
      <c r="D113" s="35"/>
      <c r="E113" s="151"/>
      <c r="F113" s="151"/>
      <c r="G113" s="155"/>
      <c r="H113" s="151"/>
      <c r="I113" s="151"/>
      <c r="J113" s="151"/>
      <c r="K113" s="151"/>
      <c r="L113" s="151"/>
      <c r="M113" s="151"/>
      <c r="N113" s="151"/>
      <c r="O113" s="159"/>
      <c r="P113" s="159"/>
    </row>
    <row r="114" spans="1:16" ht="18.75" hidden="1">
      <c r="A114" s="151"/>
      <c r="B114" s="151"/>
      <c r="C114" s="173"/>
      <c r="D114" s="35"/>
      <c r="E114" s="151"/>
      <c r="F114" s="151"/>
      <c r="G114" s="155"/>
      <c r="H114" s="151"/>
      <c r="I114" s="151"/>
      <c r="J114" s="151"/>
      <c r="K114" s="151"/>
      <c r="L114" s="151"/>
      <c r="M114" s="151"/>
      <c r="N114" s="151"/>
      <c r="O114" s="159"/>
      <c r="P114" s="159"/>
    </row>
    <row r="115" spans="1:16" ht="18.75" hidden="1">
      <c r="A115" s="151" t="s">
        <v>203</v>
      </c>
      <c r="B115" s="151" t="s">
        <v>203</v>
      </c>
      <c r="C115" s="151" t="s">
        <v>203</v>
      </c>
      <c r="D115" s="153" t="s">
        <v>29</v>
      </c>
      <c r="E115" s="151" t="s">
        <v>16</v>
      </c>
      <c r="F115" s="151" t="s">
        <v>16</v>
      </c>
      <c r="G115" s="155"/>
      <c r="H115" s="155"/>
      <c r="I115" s="155"/>
      <c r="J115" s="151"/>
      <c r="K115" s="155"/>
      <c r="L115" s="155"/>
      <c r="M115" s="155"/>
      <c r="N115" s="155"/>
      <c r="O115" s="159"/>
      <c r="P115" s="159"/>
    </row>
    <row r="116" spans="1:16" ht="18.75">
      <c r="A116" s="160"/>
      <c r="B116" s="160"/>
      <c r="C116" s="159"/>
      <c r="E116" s="159"/>
      <c r="F116" s="159"/>
      <c r="G116" s="159"/>
      <c r="H116" s="159"/>
      <c r="I116" s="159"/>
      <c r="J116" s="159"/>
      <c r="K116" s="159"/>
      <c r="L116" s="159"/>
      <c r="M116" s="159"/>
      <c r="N116" s="159"/>
      <c r="O116" s="159"/>
      <c r="P116" s="159"/>
    </row>
    <row r="117" spans="2:16" ht="18.75">
      <c r="B117" s="361" t="s">
        <v>151</v>
      </c>
      <c r="C117" s="361"/>
      <c r="D117" s="361"/>
      <c r="E117" s="361"/>
      <c r="F117" s="361"/>
      <c r="G117" s="361"/>
      <c r="H117" s="361"/>
      <c r="I117" s="361"/>
      <c r="J117" s="361"/>
      <c r="K117" s="361"/>
      <c r="L117" s="361"/>
      <c r="M117" s="361"/>
      <c r="N117" s="361"/>
      <c r="O117" s="159"/>
      <c r="P117" s="159"/>
    </row>
    <row r="118" spans="1:16" ht="18.75">
      <c r="A118" s="160"/>
      <c r="B118" s="160"/>
      <c r="C118" s="159"/>
      <c r="E118" s="159"/>
      <c r="F118" s="159"/>
      <c r="G118" s="159"/>
      <c r="H118" s="159"/>
      <c r="I118" s="159"/>
      <c r="J118" s="159"/>
      <c r="K118" s="159"/>
      <c r="L118" s="159"/>
      <c r="M118" s="159"/>
      <c r="N118" s="159"/>
      <c r="O118" s="159"/>
      <c r="P118" s="159"/>
    </row>
    <row r="119" spans="1:16" ht="19.5" customHeight="1">
      <c r="A119" s="357" t="s">
        <v>107</v>
      </c>
      <c r="B119" s="357" t="s">
        <v>107</v>
      </c>
      <c r="C119" s="357" t="s">
        <v>31</v>
      </c>
      <c r="D119" s="305" t="s">
        <v>152</v>
      </c>
      <c r="E119" s="357" t="s">
        <v>153</v>
      </c>
      <c r="F119" s="357" t="s">
        <v>154</v>
      </c>
      <c r="G119" s="357" t="s">
        <v>495</v>
      </c>
      <c r="H119" s="357" t="s">
        <v>111</v>
      </c>
      <c r="I119" s="357"/>
      <c r="J119" s="357"/>
      <c r="K119" s="357"/>
      <c r="L119" s="357"/>
      <c r="M119" s="357"/>
      <c r="N119" s="357"/>
      <c r="O119" s="159"/>
      <c r="P119" s="159"/>
    </row>
    <row r="120" spans="1:16" ht="35.25" customHeight="1">
      <c r="A120" s="357"/>
      <c r="B120" s="357"/>
      <c r="C120" s="357"/>
      <c r="D120" s="305"/>
      <c r="E120" s="357"/>
      <c r="F120" s="357"/>
      <c r="G120" s="357"/>
      <c r="H120" s="357" t="s">
        <v>112</v>
      </c>
      <c r="I120" s="357"/>
      <c r="J120" s="357"/>
      <c r="K120" s="357" t="s">
        <v>113</v>
      </c>
      <c r="L120" s="357" t="s">
        <v>135</v>
      </c>
      <c r="M120" s="357" t="s">
        <v>114</v>
      </c>
      <c r="N120" s="357"/>
      <c r="O120" s="159"/>
      <c r="P120" s="159"/>
    </row>
    <row r="121" spans="1:16" ht="38.25" customHeight="1">
      <c r="A121" s="357"/>
      <c r="B121" s="357"/>
      <c r="C121" s="357"/>
      <c r="D121" s="305"/>
      <c r="E121" s="357"/>
      <c r="F121" s="357"/>
      <c r="G121" s="357"/>
      <c r="H121" s="357" t="s">
        <v>96</v>
      </c>
      <c r="I121" s="357" t="s">
        <v>351</v>
      </c>
      <c r="J121" s="357" t="s">
        <v>352</v>
      </c>
      <c r="K121" s="357"/>
      <c r="L121" s="357"/>
      <c r="M121" s="357"/>
      <c r="N121" s="357"/>
      <c r="O121" s="159"/>
      <c r="P121" s="159"/>
    </row>
    <row r="122" spans="1:16" ht="68.25" customHeight="1">
      <c r="A122" s="357"/>
      <c r="B122" s="357"/>
      <c r="C122" s="357"/>
      <c r="D122" s="305"/>
      <c r="E122" s="357"/>
      <c r="F122" s="357"/>
      <c r="G122" s="357"/>
      <c r="H122" s="357"/>
      <c r="I122" s="357"/>
      <c r="J122" s="357"/>
      <c r="K122" s="357"/>
      <c r="L122" s="357"/>
      <c r="M122" s="151" t="s">
        <v>96</v>
      </c>
      <c r="N122" s="151" t="s">
        <v>353</v>
      </c>
      <c r="O122" s="159"/>
      <c r="P122" s="159"/>
    </row>
    <row r="123" spans="1:16" ht="18.75">
      <c r="A123" s="151">
        <v>1</v>
      </c>
      <c r="B123" s="151">
        <v>1</v>
      </c>
      <c r="C123" s="151">
        <v>2</v>
      </c>
      <c r="D123" s="73">
        <v>3</v>
      </c>
      <c r="E123" s="151">
        <v>4</v>
      </c>
      <c r="F123" s="151">
        <v>5</v>
      </c>
      <c r="G123" s="151">
        <v>6</v>
      </c>
      <c r="H123" s="151">
        <v>7</v>
      </c>
      <c r="I123" s="151">
        <v>8</v>
      </c>
      <c r="J123" s="151">
        <v>9</v>
      </c>
      <c r="K123" s="151">
        <v>10</v>
      </c>
      <c r="L123" s="151">
        <v>11</v>
      </c>
      <c r="M123" s="151">
        <v>12</v>
      </c>
      <c r="N123" s="151">
        <v>13</v>
      </c>
      <c r="O123" s="159"/>
      <c r="P123" s="159"/>
    </row>
    <row r="124" spans="1:16" ht="17.25" customHeight="1">
      <c r="A124" s="151"/>
      <c r="B124" s="151"/>
      <c r="C124" s="152" t="s">
        <v>58</v>
      </c>
      <c r="D124" s="153" t="s">
        <v>227</v>
      </c>
      <c r="E124" s="155"/>
      <c r="F124" s="155"/>
      <c r="G124" s="155">
        <f>G125</f>
        <v>4932.33</v>
      </c>
      <c r="H124" s="151"/>
      <c r="I124" s="151"/>
      <c r="J124" s="155">
        <f>J125</f>
        <v>4932.33</v>
      </c>
      <c r="K124" s="151"/>
      <c r="L124" s="151"/>
      <c r="M124" s="151"/>
      <c r="N124" s="151"/>
      <c r="O124" s="159"/>
      <c r="P124" s="159"/>
    </row>
    <row r="125" spans="1:16" ht="49.5" customHeight="1">
      <c r="A125" s="151">
        <v>853</v>
      </c>
      <c r="B125" s="151">
        <v>853</v>
      </c>
      <c r="C125" s="161" t="s">
        <v>124</v>
      </c>
      <c r="D125" s="36" t="s">
        <v>229</v>
      </c>
      <c r="E125" s="155">
        <f>G125/F125</f>
        <v>4932.33</v>
      </c>
      <c r="F125" s="155">
        <v>1</v>
      </c>
      <c r="G125" s="155">
        <f>200+M125</f>
        <v>4932.33</v>
      </c>
      <c r="H125" s="151">
        <f>J125</f>
        <v>4932.33</v>
      </c>
      <c r="I125" s="151"/>
      <c r="J125" s="168">
        <f>G125</f>
        <v>4932.33</v>
      </c>
      <c r="K125" s="151"/>
      <c r="L125" s="151"/>
      <c r="M125" s="151">
        <v>4732.33</v>
      </c>
      <c r="N125" s="151"/>
      <c r="O125" s="159"/>
      <c r="P125" s="159"/>
    </row>
    <row r="126" spans="1:16" ht="34.5" customHeight="1">
      <c r="A126" s="151" t="s">
        <v>203</v>
      </c>
      <c r="B126" s="151" t="s">
        <v>203</v>
      </c>
      <c r="C126" s="151" t="s">
        <v>203</v>
      </c>
      <c r="D126" s="153" t="s">
        <v>29</v>
      </c>
      <c r="E126" s="151" t="s">
        <v>16</v>
      </c>
      <c r="F126" s="151" t="s">
        <v>16</v>
      </c>
      <c r="G126" s="155">
        <f>G125</f>
        <v>4932.33</v>
      </c>
      <c r="H126" s="155">
        <f>J126</f>
        <v>4932.33</v>
      </c>
      <c r="I126" s="155"/>
      <c r="J126" s="168">
        <f>J125</f>
        <v>4932.33</v>
      </c>
      <c r="K126" s="155"/>
      <c r="L126" s="155"/>
      <c r="M126" s="155"/>
      <c r="N126" s="155"/>
      <c r="O126" s="159"/>
      <c r="P126" s="159"/>
    </row>
    <row r="127" spans="1:16" ht="18.75">
      <c r="A127" s="174">
        <f>'Раздел 1'!D56-G126</f>
        <v>0</v>
      </c>
      <c r="B127" s="174"/>
      <c r="C127" s="74"/>
      <c r="D127" s="175"/>
      <c r="E127" s="176"/>
      <c r="F127" s="176"/>
      <c r="G127" s="74"/>
      <c r="H127" s="74"/>
      <c r="I127" s="74"/>
      <c r="J127" s="176"/>
      <c r="K127" s="74"/>
      <c r="L127" s="74"/>
      <c r="M127" s="74"/>
      <c r="N127" s="74"/>
      <c r="O127" s="159"/>
      <c r="P127" s="159"/>
    </row>
    <row r="128" spans="2:16" ht="18.75">
      <c r="B128" s="363" t="s">
        <v>155</v>
      </c>
      <c r="C128" s="363"/>
      <c r="D128" s="363"/>
      <c r="E128" s="363"/>
      <c r="F128" s="363"/>
      <c r="G128" s="363"/>
      <c r="H128" s="363"/>
      <c r="I128" s="363"/>
      <c r="J128" s="363"/>
      <c r="K128" s="363"/>
      <c r="L128" s="363"/>
      <c r="M128" s="363"/>
      <c r="N128" s="363"/>
      <c r="O128" s="159"/>
      <c r="P128" s="159"/>
    </row>
    <row r="129" spans="1:16" ht="18.75">
      <c r="A129" s="178"/>
      <c r="B129" s="178"/>
      <c r="C129" s="159"/>
      <c r="E129" s="159"/>
      <c r="F129" s="159"/>
      <c r="G129" s="159"/>
      <c r="H129" s="159"/>
      <c r="I129" s="159"/>
      <c r="J129" s="159"/>
      <c r="K129" s="159"/>
      <c r="L129" s="159"/>
      <c r="M129" s="159"/>
      <c r="N129" s="159"/>
      <c r="O129" s="159"/>
      <c r="P129" s="159"/>
    </row>
    <row r="130" spans="2:16" ht="18.75">
      <c r="B130" s="361" t="s">
        <v>384</v>
      </c>
      <c r="C130" s="361"/>
      <c r="D130" s="361"/>
      <c r="E130" s="361"/>
      <c r="F130" s="361"/>
      <c r="G130" s="361"/>
      <c r="H130" s="361"/>
      <c r="I130" s="361"/>
      <c r="J130" s="361"/>
      <c r="K130" s="361"/>
      <c r="L130" s="361"/>
      <c r="M130" s="361"/>
      <c r="N130" s="361"/>
      <c r="O130" s="159"/>
      <c r="P130" s="159"/>
    </row>
    <row r="131" spans="1:16" ht="18.75">
      <c r="A131" s="160"/>
      <c r="B131" s="160"/>
      <c r="C131" s="159"/>
      <c r="E131" s="159"/>
      <c r="F131" s="159"/>
      <c r="G131" s="159"/>
      <c r="H131" s="159"/>
      <c r="I131" s="159"/>
      <c r="J131" s="159"/>
      <c r="K131" s="159"/>
      <c r="L131" s="159"/>
      <c r="M131" s="159"/>
      <c r="N131" s="159"/>
      <c r="O131" s="159"/>
      <c r="P131" s="159"/>
    </row>
    <row r="132" spans="1:16" ht="19.5" customHeight="1" hidden="1">
      <c r="A132" s="357" t="s">
        <v>107</v>
      </c>
      <c r="B132" s="357" t="s">
        <v>107</v>
      </c>
      <c r="C132" s="357" t="s">
        <v>31</v>
      </c>
      <c r="D132" s="305" t="s">
        <v>8</v>
      </c>
      <c r="E132" s="151" t="s">
        <v>156</v>
      </c>
      <c r="F132" s="151" t="s">
        <v>157</v>
      </c>
      <c r="G132" s="151" t="s">
        <v>158</v>
      </c>
      <c r="H132" s="357" t="s">
        <v>111</v>
      </c>
      <c r="I132" s="357"/>
      <c r="J132" s="357"/>
      <c r="K132" s="357"/>
      <c r="L132" s="357"/>
      <c r="M132" s="357"/>
      <c r="N132" s="357"/>
      <c r="O132" s="159"/>
      <c r="P132" s="159"/>
    </row>
    <row r="133" spans="1:16" ht="38.25" customHeight="1" hidden="1">
      <c r="A133" s="357"/>
      <c r="B133" s="357"/>
      <c r="C133" s="357"/>
      <c r="D133" s="305"/>
      <c r="E133" s="358" t="s">
        <v>159</v>
      </c>
      <c r="F133" s="358" t="s">
        <v>160</v>
      </c>
      <c r="G133" s="364" t="s">
        <v>385</v>
      </c>
      <c r="H133" s="357" t="s">
        <v>112</v>
      </c>
      <c r="I133" s="357"/>
      <c r="J133" s="357"/>
      <c r="K133" s="357" t="s">
        <v>113</v>
      </c>
      <c r="L133" s="357" t="s">
        <v>135</v>
      </c>
      <c r="M133" s="357" t="s">
        <v>114</v>
      </c>
      <c r="N133" s="357"/>
      <c r="O133" s="159"/>
      <c r="P133" s="159"/>
    </row>
    <row r="134" spans="1:16" ht="18.75" hidden="1">
      <c r="A134" s="357"/>
      <c r="B134" s="357"/>
      <c r="C134" s="357"/>
      <c r="D134" s="305"/>
      <c r="E134" s="359"/>
      <c r="F134" s="359"/>
      <c r="G134" s="365"/>
      <c r="H134" s="357" t="s">
        <v>96</v>
      </c>
      <c r="I134" s="357" t="s">
        <v>351</v>
      </c>
      <c r="J134" s="357" t="s">
        <v>352</v>
      </c>
      <c r="K134" s="357"/>
      <c r="L134" s="357"/>
      <c r="M134" s="357"/>
      <c r="N134" s="357"/>
      <c r="O134" s="159"/>
      <c r="P134" s="159"/>
    </row>
    <row r="135" spans="1:16" ht="83.25" customHeight="1" hidden="1">
      <c r="A135" s="357"/>
      <c r="B135" s="357"/>
      <c r="C135" s="357"/>
      <c r="D135" s="305"/>
      <c r="E135" s="359"/>
      <c r="F135" s="359"/>
      <c r="G135" s="365"/>
      <c r="H135" s="357"/>
      <c r="I135" s="357"/>
      <c r="J135" s="357"/>
      <c r="K135" s="357"/>
      <c r="L135" s="357"/>
      <c r="M135" s="151" t="s">
        <v>96</v>
      </c>
      <c r="N135" s="151" t="s">
        <v>353</v>
      </c>
      <c r="O135" s="159"/>
      <c r="P135" s="159"/>
    </row>
    <row r="136" spans="1:16" ht="18.75" hidden="1">
      <c r="A136" s="151">
        <v>1</v>
      </c>
      <c r="B136" s="151">
        <v>1</v>
      </c>
      <c r="C136" s="151">
        <v>2</v>
      </c>
      <c r="D136" s="73">
        <v>3</v>
      </c>
      <c r="E136" s="151">
        <v>4</v>
      </c>
      <c r="F136" s="151">
        <v>5</v>
      </c>
      <c r="G136" s="151">
        <v>6</v>
      </c>
      <c r="H136" s="151">
        <v>7</v>
      </c>
      <c r="I136" s="151">
        <v>8</v>
      </c>
      <c r="J136" s="151">
        <v>9</v>
      </c>
      <c r="K136" s="151">
        <v>10</v>
      </c>
      <c r="L136" s="151">
        <v>11</v>
      </c>
      <c r="M136" s="151">
        <v>12</v>
      </c>
      <c r="N136" s="151">
        <v>13</v>
      </c>
      <c r="O136" s="159"/>
      <c r="P136" s="159"/>
    </row>
    <row r="137" spans="1:16" ht="46.5" customHeight="1" hidden="1">
      <c r="A137" s="155"/>
      <c r="B137" s="155"/>
      <c r="C137" s="152" t="s">
        <v>58</v>
      </c>
      <c r="D137" s="153" t="s">
        <v>386</v>
      </c>
      <c r="E137" s="151" t="s">
        <v>16</v>
      </c>
      <c r="F137" s="151" t="s">
        <v>16</v>
      </c>
      <c r="G137" s="155"/>
      <c r="H137" s="155"/>
      <c r="I137" s="155"/>
      <c r="J137" s="155"/>
      <c r="K137" s="155"/>
      <c r="L137" s="155"/>
      <c r="M137" s="155"/>
      <c r="N137" s="155"/>
      <c r="O137" s="159"/>
      <c r="P137" s="159"/>
    </row>
    <row r="138" spans="1:16" ht="18.75" hidden="1">
      <c r="A138" s="155"/>
      <c r="B138" s="155"/>
      <c r="C138" s="161" t="s">
        <v>124</v>
      </c>
      <c r="D138" s="162" t="s">
        <v>387</v>
      </c>
      <c r="E138" s="151" t="s">
        <v>16</v>
      </c>
      <c r="F138" s="151" t="s">
        <v>16</v>
      </c>
      <c r="G138" s="151"/>
      <c r="H138" s="151"/>
      <c r="I138" s="151"/>
      <c r="J138" s="151"/>
      <c r="K138" s="151"/>
      <c r="L138" s="151"/>
      <c r="M138" s="151"/>
      <c r="N138" s="151"/>
      <c r="O138" s="159"/>
      <c r="P138" s="159"/>
    </row>
    <row r="139" spans="1:16" ht="18.75" hidden="1">
      <c r="A139" s="155"/>
      <c r="B139" s="155"/>
      <c r="C139" s="173" t="s">
        <v>146</v>
      </c>
      <c r="D139" s="35"/>
      <c r="E139" s="155"/>
      <c r="F139" s="155"/>
      <c r="G139" s="155"/>
      <c r="H139" s="151"/>
      <c r="I139" s="151"/>
      <c r="J139" s="151"/>
      <c r="K139" s="151"/>
      <c r="L139" s="151"/>
      <c r="M139" s="151"/>
      <c r="N139" s="151"/>
      <c r="O139" s="159"/>
      <c r="P139" s="159"/>
    </row>
    <row r="140" spans="1:16" ht="18.75" hidden="1">
      <c r="A140" s="155"/>
      <c r="B140" s="155"/>
      <c r="C140" s="155"/>
      <c r="D140" s="153"/>
      <c r="E140" s="155"/>
      <c r="F140" s="155"/>
      <c r="G140" s="155"/>
      <c r="H140" s="151"/>
      <c r="I140" s="151"/>
      <c r="J140" s="151"/>
      <c r="K140" s="151"/>
      <c r="L140" s="151"/>
      <c r="M140" s="151"/>
      <c r="N140" s="151"/>
      <c r="O140" s="159"/>
      <c r="P140" s="159"/>
    </row>
    <row r="141" spans="1:16" ht="45" customHeight="1" hidden="1">
      <c r="A141" s="155"/>
      <c r="B141" s="155"/>
      <c r="C141" s="152">
        <v>2</v>
      </c>
      <c r="D141" s="153" t="s">
        <v>388</v>
      </c>
      <c r="E141" s="151" t="s">
        <v>16</v>
      </c>
      <c r="F141" s="151" t="s">
        <v>16</v>
      </c>
      <c r="G141" s="155"/>
      <c r="H141" s="155"/>
      <c r="I141" s="155"/>
      <c r="J141" s="155"/>
      <c r="K141" s="155"/>
      <c r="L141" s="155"/>
      <c r="M141" s="155"/>
      <c r="N141" s="155"/>
      <c r="O141" s="159"/>
      <c r="P141" s="159"/>
    </row>
    <row r="142" spans="1:16" ht="18.75" hidden="1">
      <c r="A142" s="155"/>
      <c r="B142" s="155"/>
      <c r="C142" s="161" t="s">
        <v>136</v>
      </c>
      <c r="D142" s="162" t="s">
        <v>387</v>
      </c>
      <c r="E142" s="151" t="s">
        <v>16</v>
      </c>
      <c r="F142" s="151" t="s">
        <v>16</v>
      </c>
      <c r="G142" s="151"/>
      <c r="H142" s="151"/>
      <c r="I142" s="151"/>
      <c r="J142" s="151"/>
      <c r="K142" s="151"/>
      <c r="L142" s="151"/>
      <c r="M142" s="151"/>
      <c r="N142" s="151"/>
      <c r="O142" s="159"/>
      <c r="P142" s="159"/>
    </row>
    <row r="143" spans="1:16" ht="18.75" hidden="1">
      <c r="A143" s="155"/>
      <c r="B143" s="155"/>
      <c r="C143" s="173" t="s">
        <v>382</v>
      </c>
      <c r="D143" s="35"/>
      <c r="E143" s="155"/>
      <c r="F143" s="155"/>
      <c r="G143" s="155"/>
      <c r="H143" s="151"/>
      <c r="I143" s="151"/>
      <c r="J143" s="151"/>
      <c r="K143" s="151"/>
      <c r="L143" s="151"/>
      <c r="M143" s="151"/>
      <c r="N143" s="151"/>
      <c r="O143" s="159"/>
      <c r="P143" s="159"/>
    </row>
    <row r="144" spans="1:16" ht="18.75" hidden="1">
      <c r="A144" s="155"/>
      <c r="B144" s="155"/>
      <c r="C144" s="155"/>
      <c r="D144" s="153"/>
      <c r="E144" s="155"/>
      <c r="F144" s="155"/>
      <c r="G144" s="155"/>
      <c r="H144" s="151"/>
      <c r="I144" s="151"/>
      <c r="J144" s="151"/>
      <c r="K144" s="151"/>
      <c r="L144" s="151"/>
      <c r="M144" s="151"/>
      <c r="N144" s="151"/>
      <c r="O144" s="159"/>
      <c r="P144" s="159"/>
    </row>
    <row r="145" spans="1:16" ht="45" customHeight="1" hidden="1">
      <c r="A145" s="155"/>
      <c r="B145" s="155"/>
      <c r="C145" s="152">
        <v>3</v>
      </c>
      <c r="D145" s="153" t="s">
        <v>161</v>
      </c>
      <c r="E145" s="151" t="s">
        <v>16</v>
      </c>
      <c r="F145" s="151" t="s">
        <v>16</v>
      </c>
      <c r="G145" s="155"/>
      <c r="H145" s="155"/>
      <c r="I145" s="155"/>
      <c r="J145" s="155"/>
      <c r="K145" s="155"/>
      <c r="L145" s="155"/>
      <c r="M145" s="155"/>
      <c r="N145" s="155"/>
      <c r="O145" s="159"/>
      <c r="P145" s="159"/>
    </row>
    <row r="146" spans="1:16" ht="18.75" hidden="1">
      <c r="A146" s="155"/>
      <c r="B146" s="155"/>
      <c r="C146" s="161" t="s">
        <v>142</v>
      </c>
      <c r="D146" s="162" t="s">
        <v>387</v>
      </c>
      <c r="E146" s="151" t="s">
        <v>16</v>
      </c>
      <c r="F146" s="151" t="s">
        <v>16</v>
      </c>
      <c r="G146" s="151"/>
      <c r="H146" s="151"/>
      <c r="I146" s="151"/>
      <c r="J146" s="151"/>
      <c r="K146" s="151"/>
      <c r="L146" s="151"/>
      <c r="M146" s="151"/>
      <c r="N146" s="151"/>
      <c r="O146" s="159"/>
      <c r="P146" s="159"/>
    </row>
    <row r="147" spans="1:16" ht="18.75" hidden="1">
      <c r="A147" s="155"/>
      <c r="B147" s="155"/>
      <c r="C147" s="180" t="s">
        <v>389</v>
      </c>
      <c r="D147" s="35"/>
      <c r="E147" s="155"/>
      <c r="F147" s="155"/>
      <c r="G147" s="155"/>
      <c r="H147" s="151"/>
      <c r="I147" s="151"/>
      <c r="J147" s="151"/>
      <c r="K147" s="151"/>
      <c r="L147" s="151"/>
      <c r="M147" s="151"/>
      <c r="N147" s="151"/>
      <c r="O147" s="159"/>
      <c r="P147" s="159"/>
    </row>
    <row r="148" spans="1:16" ht="18.75" hidden="1">
      <c r="A148" s="155"/>
      <c r="B148" s="155"/>
      <c r="C148" s="155"/>
      <c r="D148" s="153"/>
      <c r="E148" s="155"/>
      <c r="F148" s="155"/>
      <c r="G148" s="155"/>
      <c r="H148" s="151"/>
      <c r="I148" s="151"/>
      <c r="J148" s="151"/>
      <c r="K148" s="151"/>
      <c r="L148" s="151"/>
      <c r="M148" s="151"/>
      <c r="N148" s="151"/>
      <c r="O148" s="159"/>
      <c r="P148" s="159"/>
    </row>
    <row r="149" spans="1:16" ht="18.75" hidden="1">
      <c r="A149" s="151" t="s">
        <v>203</v>
      </c>
      <c r="B149" s="151" t="s">
        <v>203</v>
      </c>
      <c r="C149" s="151" t="s">
        <v>203</v>
      </c>
      <c r="D149" s="153" t="s">
        <v>29</v>
      </c>
      <c r="E149" s="151" t="s">
        <v>16</v>
      </c>
      <c r="F149" s="151" t="s">
        <v>16</v>
      </c>
      <c r="G149" s="155"/>
      <c r="H149" s="155"/>
      <c r="I149" s="155"/>
      <c r="J149" s="155"/>
      <c r="K149" s="155"/>
      <c r="L149" s="155"/>
      <c r="M149" s="155"/>
      <c r="N149" s="155"/>
      <c r="O149" s="159"/>
      <c r="P149" s="159"/>
    </row>
    <row r="150" spans="1:16" ht="18.75">
      <c r="A150" s="160"/>
      <c r="B150" s="160"/>
      <c r="C150" s="159"/>
      <c r="E150" s="159"/>
      <c r="F150" s="159"/>
      <c r="G150" s="159"/>
      <c r="H150" s="159"/>
      <c r="I150" s="159"/>
      <c r="J150" s="159"/>
      <c r="K150" s="159"/>
      <c r="L150" s="159"/>
      <c r="M150" s="159"/>
      <c r="N150" s="159"/>
      <c r="O150" s="159"/>
      <c r="P150" s="159"/>
    </row>
    <row r="151" spans="2:16" ht="18.75">
      <c r="B151" s="361" t="s">
        <v>390</v>
      </c>
      <c r="C151" s="361"/>
      <c r="D151" s="361"/>
      <c r="E151" s="361"/>
      <c r="F151" s="361"/>
      <c r="G151" s="361"/>
      <c r="H151" s="361"/>
      <c r="I151" s="361"/>
      <c r="J151" s="361"/>
      <c r="K151" s="361"/>
      <c r="L151" s="361"/>
      <c r="M151" s="361"/>
      <c r="N151" s="361"/>
      <c r="O151" s="159"/>
      <c r="P151" s="159"/>
    </row>
    <row r="152" spans="1:16" ht="18.75">
      <c r="A152" s="160"/>
      <c r="B152" s="160"/>
      <c r="C152" s="159"/>
      <c r="E152" s="159"/>
      <c r="F152" s="159"/>
      <c r="G152" s="159"/>
      <c r="H152" s="159"/>
      <c r="I152" s="159"/>
      <c r="J152" s="159"/>
      <c r="K152" s="159"/>
      <c r="L152" s="159"/>
      <c r="M152" s="159"/>
      <c r="N152" s="159"/>
      <c r="O152" s="159"/>
      <c r="P152" s="159"/>
    </row>
    <row r="153" spans="1:16" ht="19.5" customHeight="1" hidden="1">
      <c r="A153" s="357" t="s">
        <v>107</v>
      </c>
      <c r="B153" s="357" t="s">
        <v>107</v>
      </c>
      <c r="C153" s="357" t="s">
        <v>31</v>
      </c>
      <c r="D153" s="305" t="s">
        <v>8</v>
      </c>
      <c r="E153" s="357" t="s">
        <v>139</v>
      </c>
      <c r="F153" s="357" t="s">
        <v>162</v>
      </c>
      <c r="G153" s="357" t="s">
        <v>496</v>
      </c>
      <c r="H153" s="357" t="s">
        <v>111</v>
      </c>
      <c r="I153" s="357"/>
      <c r="J153" s="357"/>
      <c r="K153" s="357"/>
      <c r="L153" s="357"/>
      <c r="M153" s="357"/>
      <c r="N153" s="357"/>
      <c r="O153" s="159"/>
      <c r="P153" s="159"/>
    </row>
    <row r="154" spans="1:16" ht="82.5" customHeight="1" hidden="1">
      <c r="A154" s="357"/>
      <c r="B154" s="357"/>
      <c r="C154" s="357"/>
      <c r="D154" s="305"/>
      <c r="E154" s="357"/>
      <c r="F154" s="357"/>
      <c r="G154" s="357"/>
      <c r="H154" s="357" t="s">
        <v>112</v>
      </c>
      <c r="I154" s="357"/>
      <c r="J154" s="357"/>
      <c r="K154" s="357" t="s">
        <v>113</v>
      </c>
      <c r="L154" s="357" t="s">
        <v>135</v>
      </c>
      <c r="M154" s="357" t="s">
        <v>114</v>
      </c>
      <c r="N154" s="357"/>
      <c r="O154" s="159"/>
      <c r="P154" s="159"/>
    </row>
    <row r="155" spans="1:16" ht="21" customHeight="1" hidden="1">
      <c r="A155" s="357"/>
      <c r="B155" s="357"/>
      <c r="C155" s="357"/>
      <c r="D155" s="305"/>
      <c r="E155" s="357"/>
      <c r="F155" s="357"/>
      <c r="G155" s="357"/>
      <c r="H155" s="357" t="s">
        <v>96</v>
      </c>
      <c r="I155" s="357" t="s">
        <v>351</v>
      </c>
      <c r="J155" s="357" t="s">
        <v>352</v>
      </c>
      <c r="K155" s="357"/>
      <c r="L155" s="357"/>
      <c r="M155" s="357"/>
      <c r="N155" s="357"/>
      <c r="O155" s="159"/>
      <c r="P155" s="159"/>
    </row>
    <row r="156" spans="1:16" ht="29.25" customHeight="1" hidden="1">
      <c r="A156" s="357"/>
      <c r="B156" s="357"/>
      <c r="C156" s="357"/>
      <c r="D156" s="305"/>
      <c r="E156" s="357"/>
      <c r="F156" s="357"/>
      <c r="G156" s="357"/>
      <c r="H156" s="357"/>
      <c r="I156" s="357"/>
      <c r="J156" s="357"/>
      <c r="K156" s="357"/>
      <c r="L156" s="357"/>
      <c r="M156" s="151" t="s">
        <v>96</v>
      </c>
      <c r="N156" s="151" t="s">
        <v>353</v>
      </c>
      <c r="O156" s="159"/>
      <c r="P156" s="159"/>
    </row>
    <row r="157" spans="1:16" ht="18.75" hidden="1">
      <c r="A157" s="151">
        <v>1</v>
      </c>
      <c r="B157" s="151">
        <v>1</v>
      </c>
      <c r="C157" s="151">
        <v>2</v>
      </c>
      <c r="D157" s="73">
        <v>3</v>
      </c>
      <c r="E157" s="151">
        <v>4</v>
      </c>
      <c r="F157" s="151">
        <v>5</v>
      </c>
      <c r="G157" s="151">
        <v>6</v>
      </c>
      <c r="H157" s="151">
        <v>7</v>
      </c>
      <c r="I157" s="151">
        <v>8</v>
      </c>
      <c r="J157" s="151">
        <v>9</v>
      </c>
      <c r="K157" s="151">
        <v>10</v>
      </c>
      <c r="L157" s="151">
        <v>11</v>
      </c>
      <c r="M157" s="151">
        <v>12</v>
      </c>
      <c r="N157" s="151">
        <v>13</v>
      </c>
      <c r="O157" s="159"/>
      <c r="P157" s="159"/>
    </row>
    <row r="158" spans="1:16" ht="95.25" customHeight="1" hidden="1">
      <c r="A158" s="151"/>
      <c r="B158" s="151"/>
      <c r="C158" s="152" t="s">
        <v>58</v>
      </c>
      <c r="D158" s="153" t="s">
        <v>391</v>
      </c>
      <c r="E158" s="155"/>
      <c r="F158" s="155"/>
      <c r="G158" s="155"/>
      <c r="H158" s="155"/>
      <c r="I158" s="155"/>
      <c r="J158" s="155"/>
      <c r="K158" s="155"/>
      <c r="L158" s="155"/>
      <c r="M158" s="155"/>
      <c r="N158" s="155"/>
      <c r="O158" s="159"/>
      <c r="P158" s="159"/>
    </row>
    <row r="159" spans="1:16" ht="18.75" hidden="1">
      <c r="A159" s="151"/>
      <c r="B159" s="151"/>
      <c r="C159" s="151"/>
      <c r="D159" s="153"/>
      <c r="E159" s="155"/>
      <c r="F159" s="155"/>
      <c r="G159" s="155"/>
      <c r="H159" s="151"/>
      <c r="I159" s="151"/>
      <c r="J159" s="151"/>
      <c r="K159" s="151"/>
      <c r="L159" s="151"/>
      <c r="M159" s="151"/>
      <c r="N159" s="151"/>
      <c r="O159" s="159"/>
      <c r="P159" s="159"/>
    </row>
    <row r="160" spans="1:16" ht="18.75" hidden="1">
      <c r="A160" s="151"/>
      <c r="B160" s="151"/>
      <c r="C160" s="152" t="s">
        <v>262</v>
      </c>
      <c r="D160" s="153" t="s">
        <v>163</v>
      </c>
      <c r="E160" s="155"/>
      <c r="F160" s="155"/>
      <c r="G160" s="155"/>
      <c r="H160" s="155"/>
      <c r="I160" s="155"/>
      <c r="J160" s="151"/>
      <c r="K160" s="155"/>
      <c r="L160" s="155"/>
      <c r="M160" s="155"/>
      <c r="N160" s="155"/>
      <c r="O160" s="159"/>
      <c r="P160" s="159"/>
    </row>
    <row r="161" spans="1:16" ht="18.75" hidden="1">
      <c r="A161" s="151"/>
      <c r="B161" s="151"/>
      <c r="C161" s="151"/>
      <c r="D161" s="153"/>
      <c r="E161" s="155"/>
      <c r="F161" s="155"/>
      <c r="G161" s="155"/>
      <c r="H161" s="155"/>
      <c r="I161" s="155"/>
      <c r="J161" s="151"/>
      <c r="K161" s="155"/>
      <c r="L161" s="155"/>
      <c r="M161" s="155"/>
      <c r="N161" s="155"/>
      <c r="O161" s="159"/>
      <c r="P161" s="159"/>
    </row>
    <row r="162" spans="1:16" ht="18.75" hidden="1">
      <c r="A162" s="151" t="s">
        <v>203</v>
      </c>
      <c r="B162" s="151" t="s">
        <v>203</v>
      </c>
      <c r="C162" s="151" t="s">
        <v>203</v>
      </c>
      <c r="D162" s="153" t="s">
        <v>29</v>
      </c>
      <c r="E162" s="151" t="s">
        <v>16</v>
      </c>
      <c r="F162" s="151" t="s">
        <v>16</v>
      </c>
      <c r="G162" s="155"/>
      <c r="H162" s="155"/>
      <c r="I162" s="155"/>
      <c r="J162" s="155"/>
      <c r="K162" s="155"/>
      <c r="L162" s="155"/>
      <c r="M162" s="155"/>
      <c r="N162" s="155"/>
      <c r="O162" s="159"/>
      <c r="P162" s="159"/>
    </row>
    <row r="163" spans="1:16" ht="18.75" hidden="1">
      <c r="A163" s="160"/>
      <c r="B163" s="160"/>
      <c r="C163" s="159"/>
      <c r="E163" s="159"/>
      <c r="F163" s="159"/>
      <c r="G163" s="159"/>
      <c r="H163" s="159"/>
      <c r="I163" s="159"/>
      <c r="J163" s="159"/>
      <c r="K163" s="159"/>
      <c r="L163" s="159"/>
      <c r="M163" s="159"/>
      <c r="N163" s="159"/>
      <c r="O163" s="159"/>
      <c r="P163" s="159"/>
    </row>
    <row r="164" spans="2:16" ht="18.75">
      <c r="B164" s="361" t="s">
        <v>164</v>
      </c>
      <c r="C164" s="361"/>
      <c r="D164" s="361"/>
      <c r="E164" s="361"/>
      <c r="F164" s="361"/>
      <c r="G164" s="361"/>
      <c r="H164" s="361"/>
      <c r="I164" s="361"/>
      <c r="J164" s="361"/>
      <c r="K164" s="361"/>
      <c r="L164" s="361"/>
      <c r="M164" s="361"/>
      <c r="N164" s="361"/>
      <c r="O164" s="159"/>
      <c r="P164" s="159"/>
    </row>
    <row r="165" spans="1:16" ht="18.75">
      <c r="A165" s="178"/>
      <c r="B165" s="178"/>
      <c r="C165" s="159"/>
      <c r="E165" s="159"/>
      <c r="F165" s="159"/>
      <c r="G165" s="159"/>
      <c r="H165" s="159"/>
      <c r="I165" s="159"/>
      <c r="J165" s="159"/>
      <c r="K165" s="159"/>
      <c r="L165" s="159"/>
      <c r="M165" s="159"/>
      <c r="N165" s="159"/>
      <c r="O165" s="159"/>
      <c r="P165" s="159"/>
    </row>
    <row r="166" spans="2:16" ht="18.75">
      <c r="B166" s="361" t="s">
        <v>165</v>
      </c>
      <c r="C166" s="361"/>
      <c r="D166" s="361"/>
      <c r="E166" s="361"/>
      <c r="F166" s="361"/>
      <c r="G166" s="361"/>
      <c r="H166" s="361"/>
      <c r="I166" s="361"/>
      <c r="J166" s="361"/>
      <c r="K166" s="361"/>
      <c r="L166" s="361"/>
      <c r="M166" s="361"/>
      <c r="N166" s="361"/>
      <c r="O166" s="159"/>
      <c r="P166" s="159"/>
    </row>
    <row r="167" spans="1:16" ht="18.75">
      <c r="A167" s="160"/>
      <c r="B167" s="160"/>
      <c r="C167" s="159"/>
      <c r="E167" s="159"/>
      <c r="F167" s="159"/>
      <c r="G167" s="159"/>
      <c r="H167" s="159"/>
      <c r="I167" s="159"/>
      <c r="J167" s="159"/>
      <c r="K167" s="159"/>
      <c r="L167" s="159"/>
      <c r="M167" s="159"/>
      <c r="N167" s="159"/>
      <c r="O167" s="159"/>
      <c r="P167" s="159"/>
    </row>
    <row r="168" spans="1:16" ht="19.5" customHeight="1">
      <c r="A168" s="357" t="s">
        <v>107</v>
      </c>
      <c r="B168" s="357" t="s">
        <v>107</v>
      </c>
      <c r="C168" s="357" t="s">
        <v>31</v>
      </c>
      <c r="D168" s="305" t="s">
        <v>30</v>
      </c>
      <c r="E168" s="357" t="s">
        <v>166</v>
      </c>
      <c r="F168" s="357" t="s">
        <v>167</v>
      </c>
      <c r="G168" s="357" t="s">
        <v>168</v>
      </c>
      <c r="H168" s="151" t="s">
        <v>13</v>
      </c>
      <c r="I168" s="357" t="s">
        <v>111</v>
      </c>
      <c r="J168" s="357"/>
      <c r="K168" s="357"/>
      <c r="L168" s="357"/>
      <c r="M168" s="357"/>
      <c r="N168" s="357"/>
      <c r="O168" s="357"/>
      <c r="P168" s="159"/>
    </row>
    <row r="169" spans="1:16" ht="25.5" customHeight="1">
      <c r="A169" s="357"/>
      <c r="B169" s="357"/>
      <c r="C169" s="357"/>
      <c r="D169" s="305"/>
      <c r="E169" s="357"/>
      <c r="F169" s="357"/>
      <c r="G169" s="357"/>
      <c r="H169" s="358" t="s">
        <v>497</v>
      </c>
      <c r="I169" s="357" t="s">
        <v>112</v>
      </c>
      <c r="J169" s="357"/>
      <c r="K169" s="357"/>
      <c r="L169" s="357" t="s">
        <v>113</v>
      </c>
      <c r="M169" s="357" t="s">
        <v>135</v>
      </c>
      <c r="N169" s="357" t="s">
        <v>114</v>
      </c>
      <c r="O169" s="357"/>
      <c r="P169" s="159"/>
    </row>
    <row r="170" spans="1:16" ht="18.75">
      <c r="A170" s="357"/>
      <c r="B170" s="357"/>
      <c r="C170" s="357"/>
      <c r="D170" s="305"/>
      <c r="E170" s="357"/>
      <c r="F170" s="357"/>
      <c r="G170" s="357"/>
      <c r="H170" s="359"/>
      <c r="I170" s="357" t="s">
        <v>96</v>
      </c>
      <c r="J170" s="357" t="s">
        <v>351</v>
      </c>
      <c r="K170" s="357" t="s">
        <v>352</v>
      </c>
      <c r="L170" s="357"/>
      <c r="M170" s="357"/>
      <c r="N170" s="357"/>
      <c r="O170" s="357"/>
      <c r="P170" s="159"/>
    </row>
    <row r="171" spans="1:16" ht="65.25" customHeight="1">
      <c r="A171" s="357"/>
      <c r="B171" s="357"/>
      <c r="C171" s="357"/>
      <c r="D171" s="305"/>
      <c r="E171" s="357"/>
      <c r="F171" s="357"/>
      <c r="G171" s="357"/>
      <c r="H171" s="359"/>
      <c r="I171" s="357"/>
      <c r="J171" s="357"/>
      <c r="K171" s="357"/>
      <c r="L171" s="357"/>
      <c r="M171" s="357"/>
      <c r="N171" s="151" t="s">
        <v>96</v>
      </c>
      <c r="O171" s="151" t="s">
        <v>353</v>
      </c>
      <c r="P171" s="159"/>
    </row>
    <row r="172" spans="1:16" ht="18.75">
      <c r="A172" s="151">
        <v>1</v>
      </c>
      <c r="B172" s="151">
        <v>1</v>
      </c>
      <c r="C172" s="151">
        <v>2</v>
      </c>
      <c r="D172" s="73">
        <v>3</v>
      </c>
      <c r="E172" s="151">
        <v>4</v>
      </c>
      <c r="F172" s="151">
        <v>5</v>
      </c>
      <c r="G172" s="151">
        <v>6</v>
      </c>
      <c r="H172" s="151">
        <v>7</v>
      </c>
      <c r="I172" s="151">
        <v>8</v>
      </c>
      <c r="J172" s="151">
        <v>9</v>
      </c>
      <c r="K172" s="151">
        <v>10</v>
      </c>
      <c r="L172" s="151">
        <v>11</v>
      </c>
      <c r="M172" s="151">
        <v>12</v>
      </c>
      <c r="N172" s="151">
        <v>13</v>
      </c>
      <c r="O172" s="151">
        <v>14</v>
      </c>
      <c r="P172" s="159"/>
    </row>
    <row r="173" spans="1:16" ht="32.25" thickBot="1">
      <c r="A173" s="151">
        <v>244</v>
      </c>
      <c r="B173" s="151">
        <v>244</v>
      </c>
      <c r="C173" s="152" t="s">
        <v>58</v>
      </c>
      <c r="D173" s="181" t="s">
        <v>169</v>
      </c>
      <c r="E173" s="155">
        <v>1</v>
      </c>
      <c r="F173" s="155">
        <v>12</v>
      </c>
      <c r="G173" s="155">
        <f>H173/F173</f>
        <v>300</v>
      </c>
      <c r="H173" s="155">
        <v>3600</v>
      </c>
      <c r="I173" s="168">
        <f>H173</f>
        <v>3600</v>
      </c>
      <c r="J173" s="168">
        <f>H173</f>
        <v>3600</v>
      </c>
      <c r="K173" s="151"/>
      <c r="L173" s="151"/>
      <c r="M173" s="151"/>
      <c r="N173" s="151"/>
      <c r="O173" s="151"/>
      <c r="P173" s="159"/>
    </row>
    <row r="174" spans="1:16" ht="18.75" customHeight="1" thickBot="1">
      <c r="A174" s="151">
        <v>244</v>
      </c>
      <c r="B174" s="151">
        <v>244</v>
      </c>
      <c r="C174" s="152" t="s">
        <v>262</v>
      </c>
      <c r="D174" s="181" t="s">
        <v>170</v>
      </c>
      <c r="E174" s="155">
        <v>1</v>
      </c>
      <c r="F174" s="155">
        <v>12</v>
      </c>
      <c r="G174" s="155">
        <f>H174/F174</f>
        <v>20691.875</v>
      </c>
      <c r="H174" s="155">
        <f>31500+5000+234500-22697.5</f>
        <v>248302.5</v>
      </c>
      <c r="I174" s="168">
        <f>H174</f>
        <v>248302.5</v>
      </c>
      <c r="J174" s="168">
        <f>H174</f>
        <v>248302.5</v>
      </c>
      <c r="K174" s="151"/>
      <c r="L174" s="151"/>
      <c r="M174" s="151"/>
      <c r="N174" s="151"/>
      <c r="O174" s="151"/>
      <c r="P174" s="159"/>
    </row>
    <row r="175" spans="1:16" ht="18.75">
      <c r="A175" s="151"/>
      <c r="B175" s="151"/>
      <c r="C175" s="152"/>
      <c r="D175" s="153"/>
      <c r="E175" s="155"/>
      <c r="F175" s="155"/>
      <c r="G175" s="155"/>
      <c r="H175" s="155"/>
      <c r="I175" s="168"/>
      <c r="J175" s="168"/>
      <c r="K175" s="151"/>
      <c r="L175" s="151"/>
      <c r="M175" s="151"/>
      <c r="N175" s="151"/>
      <c r="O175" s="151"/>
      <c r="P175" s="159"/>
    </row>
    <row r="176" spans="1:16" ht="18.75">
      <c r="A176" s="151" t="s">
        <v>203</v>
      </c>
      <c r="B176" s="151" t="s">
        <v>203</v>
      </c>
      <c r="C176" s="151" t="s">
        <v>203</v>
      </c>
      <c r="D176" s="153" t="s">
        <v>29</v>
      </c>
      <c r="E176" s="151" t="s">
        <v>16</v>
      </c>
      <c r="F176" s="151" t="s">
        <v>16</v>
      </c>
      <c r="G176" s="151" t="s">
        <v>16</v>
      </c>
      <c r="H176" s="155">
        <f>H173+H174</f>
        <v>251902.5</v>
      </c>
      <c r="I176" s="155">
        <f>I173+I174</f>
        <v>251902.5</v>
      </c>
      <c r="J176" s="155">
        <f>J173+J174</f>
        <v>251902.5</v>
      </c>
      <c r="K176" s="155"/>
      <c r="L176" s="155"/>
      <c r="M176" s="155"/>
      <c r="N176" s="155"/>
      <c r="O176" s="155"/>
      <c r="P176" s="159"/>
    </row>
    <row r="177" spans="1:16" ht="18.75">
      <c r="A177" s="158">
        <f>'Раздел 1'!D66-H176</f>
        <v>0</v>
      </c>
      <c r="B177" s="158"/>
      <c r="C177" s="159"/>
      <c r="E177" s="159"/>
      <c r="F177" s="159"/>
      <c r="G177" s="159"/>
      <c r="H177" s="182"/>
      <c r="I177" s="159"/>
      <c r="J177" s="159"/>
      <c r="K177" s="159"/>
      <c r="L177" s="159"/>
      <c r="M177" s="159"/>
      <c r="N177" s="159"/>
      <c r="O177" s="159"/>
      <c r="P177" s="159"/>
    </row>
    <row r="178" spans="2:16" ht="18.75">
      <c r="B178" s="361" t="s">
        <v>171</v>
      </c>
      <c r="C178" s="361"/>
      <c r="D178" s="361"/>
      <c r="E178" s="361"/>
      <c r="F178" s="361"/>
      <c r="G178" s="361"/>
      <c r="H178" s="361"/>
      <c r="I178" s="361"/>
      <c r="J178" s="361"/>
      <c r="K178" s="361"/>
      <c r="L178" s="361"/>
      <c r="M178" s="361"/>
      <c r="N178" s="361"/>
      <c r="O178" s="361"/>
      <c r="P178" s="361"/>
    </row>
    <row r="179" spans="1:16" ht="18.75">
      <c r="A179" s="160"/>
      <c r="B179" s="160"/>
      <c r="C179" s="159"/>
      <c r="E179" s="159"/>
      <c r="F179" s="159"/>
      <c r="G179" s="159"/>
      <c r="H179" s="159"/>
      <c r="I179" s="159"/>
      <c r="J179" s="159"/>
      <c r="K179" s="159"/>
      <c r="L179" s="159"/>
      <c r="M179" s="159"/>
      <c r="N179" s="159"/>
      <c r="O179" s="159"/>
      <c r="P179" s="159"/>
    </row>
    <row r="180" spans="1:16" ht="19.5" customHeight="1">
      <c r="A180" s="357" t="s">
        <v>107</v>
      </c>
      <c r="B180" s="357" t="s">
        <v>107</v>
      </c>
      <c r="C180" s="357" t="s">
        <v>31</v>
      </c>
      <c r="D180" s="305" t="s">
        <v>8</v>
      </c>
      <c r="E180" s="357" t="s">
        <v>172</v>
      </c>
      <c r="F180" s="357" t="s">
        <v>173</v>
      </c>
      <c r="G180" s="151" t="s">
        <v>174</v>
      </c>
      <c r="H180" s="357" t="s">
        <v>175</v>
      </c>
      <c r="I180" s="357" t="s">
        <v>498</v>
      </c>
      <c r="J180" s="357" t="s">
        <v>111</v>
      </c>
      <c r="K180" s="357"/>
      <c r="L180" s="357"/>
      <c r="M180" s="357"/>
      <c r="N180" s="357"/>
      <c r="O180" s="357"/>
      <c r="P180" s="357"/>
    </row>
    <row r="181" spans="1:16" ht="39.75" customHeight="1">
      <c r="A181" s="357"/>
      <c r="B181" s="357"/>
      <c r="C181" s="357"/>
      <c r="D181" s="305"/>
      <c r="E181" s="357"/>
      <c r="F181" s="357"/>
      <c r="G181" s="358" t="s">
        <v>176</v>
      </c>
      <c r="H181" s="357"/>
      <c r="I181" s="357"/>
      <c r="J181" s="357" t="s">
        <v>112</v>
      </c>
      <c r="K181" s="357"/>
      <c r="L181" s="357"/>
      <c r="M181" s="357" t="s">
        <v>113</v>
      </c>
      <c r="N181" s="357" t="s">
        <v>135</v>
      </c>
      <c r="O181" s="357" t="s">
        <v>114</v>
      </c>
      <c r="P181" s="357"/>
    </row>
    <row r="182" spans="1:16" ht="34.5" customHeight="1">
      <c r="A182" s="357"/>
      <c r="B182" s="357"/>
      <c r="C182" s="357"/>
      <c r="D182" s="305"/>
      <c r="E182" s="357"/>
      <c r="F182" s="357"/>
      <c r="G182" s="359"/>
      <c r="H182" s="357"/>
      <c r="I182" s="357"/>
      <c r="J182" s="357" t="s">
        <v>96</v>
      </c>
      <c r="K182" s="357" t="s">
        <v>351</v>
      </c>
      <c r="L182" s="357" t="s">
        <v>352</v>
      </c>
      <c r="M182" s="357"/>
      <c r="N182" s="357"/>
      <c r="O182" s="357"/>
      <c r="P182" s="357"/>
    </row>
    <row r="183" spans="1:16" ht="108" customHeight="1">
      <c r="A183" s="357"/>
      <c r="B183" s="357"/>
      <c r="C183" s="357"/>
      <c r="D183" s="305"/>
      <c r="E183" s="357"/>
      <c r="F183" s="357"/>
      <c r="G183" s="362"/>
      <c r="H183" s="357"/>
      <c r="I183" s="357"/>
      <c r="J183" s="357"/>
      <c r="K183" s="357"/>
      <c r="L183" s="357"/>
      <c r="M183" s="357"/>
      <c r="N183" s="357"/>
      <c r="O183" s="151" t="s">
        <v>96</v>
      </c>
      <c r="P183" s="151" t="s">
        <v>353</v>
      </c>
    </row>
    <row r="184" spans="1:16" ht="18.75">
      <c r="A184" s="151">
        <v>1</v>
      </c>
      <c r="B184" s="151">
        <v>1</v>
      </c>
      <c r="C184" s="151">
        <v>2</v>
      </c>
      <c r="D184" s="73">
        <v>3</v>
      </c>
      <c r="E184" s="151">
        <v>4</v>
      </c>
      <c r="F184" s="151">
        <v>5</v>
      </c>
      <c r="G184" s="151">
        <v>6</v>
      </c>
      <c r="H184" s="151">
        <v>7</v>
      </c>
      <c r="I184" s="151">
        <v>8</v>
      </c>
      <c r="J184" s="151">
        <v>9</v>
      </c>
      <c r="K184" s="151">
        <v>10</v>
      </c>
      <c r="L184" s="151">
        <v>11</v>
      </c>
      <c r="M184" s="151">
        <v>12</v>
      </c>
      <c r="N184" s="151">
        <v>13</v>
      </c>
      <c r="O184" s="151">
        <v>14</v>
      </c>
      <c r="P184" s="151">
        <v>15</v>
      </c>
    </row>
    <row r="185" spans="1:16" ht="18.75">
      <c r="A185" s="151">
        <v>247</v>
      </c>
      <c r="B185" s="151">
        <v>247</v>
      </c>
      <c r="C185" s="152" t="s">
        <v>58</v>
      </c>
      <c r="D185" s="142" t="s">
        <v>277</v>
      </c>
      <c r="E185" s="183" t="s">
        <v>278</v>
      </c>
      <c r="F185" s="151">
        <f>I185/G185</f>
        <v>134406.83500000002</v>
      </c>
      <c r="G185" s="184">
        <v>10</v>
      </c>
      <c r="H185" s="185"/>
      <c r="I185" s="186">
        <f>J185+O185</f>
        <v>1344068.35</v>
      </c>
      <c r="J185" s="187">
        <f>L185</f>
        <v>1120306.25</v>
      </c>
      <c r="K185" s="168"/>
      <c r="L185" s="258">
        <f>950000+554106.25-O185-160000-37.9</f>
        <v>1120306.25</v>
      </c>
      <c r="M185" s="151"/>
      <c r="N185" s="151"/>
      <c r="O185" s="151">
        <f>223762.1</f>
        <v>223762.1</v>
      </c>
      <c r="P185" s="151"/>
    </row>
    <row r="186" spans="1:16" ht="18.75">
      <c r="A186" s="151">
        <v>247</v>
      </c>
      <c r="B186" s="151">
        <v>247</v>
      </c>
      <c r="C186" s="152" t="s">
        <v>262</v>
      </c>
      <c r="D186" s="142" t="s">
        <v>279</v>
      </c>
      <c r="E186" s="183" t="s">
        <v>280</v>
      </c>
      <c r="F186" s="151">
        <f>I186/G186</f>
        <v>278.59421359818356</v>
      </c>
      <c r="G186" s="184">
        <v>2871.56</v>
      </c>
      <c r="H186" s="185"/>
      <c r="I186" s="186">
        <f aca="true" t="shared" si="1" ref="I186:I192">J186</f>
        <v>800000</v>
      </c>
      <c r="J186" s="187">
        <f aca="true" t="shared" si="2" ref="J186:J192">L186</f>
        <v>800000</v>
      </c>
      <c r="K186" s="168"/>
      <c r="L186" s="258">
        <v>800000</v>
      </c>
      <c r="M186" s="151"/>
      <c r="N186" s="151"/>
      <c r="O186" s="151"/>
      <c r="P186" s="151"/>
    </row>
    <row r="187" spans="1:16" ht="18.75">
      <c r="A187" s="151">
        <v>247</v>
      </c>
      <c r="B187" s="151">
        <v>247</v>
      </c>
      <c r="C187" s="152" t="s">
        <v>354</v>
      </c>
      <c r="D187" s="142" t="s">
        <v>281</v>
      </c>
      <c r="E187" s="183" t="s">
        <v>282</v>
      </c>
      <c r="F187" s="151">
        <f>I187/G187</f>
        <v>30.61053921910042</v>
      </c>
      <c r="G187" s="184">
        <v>2871.56</v>
      </c>
      <c r="H187" s="185"/>
      <c r="I187" s="186">
        <f t="shared" si="1"/>
        <v>87900</v>
      </c>
      <c r="J187" s="187">
        <f t="shared" si="2"/>
        <v>87900</v>
      </c>
      <c r="K187" s="168"/>
      <c r="L187" s="258">
        <v>87900</v>
      </c>
      <c r="M187" s="151"/>
      <c r="N187" s="151"/>
      <c r="O187" s="151"/>
      <c r="P187" s="151"/>
    </row>
    <row r="188" spans="1:16" ht="18.75">
      <c r="A188" s="151">
        <v>244</v>
      </c>
      <c r="B188" s="151">
        <v>244</v>
      </c>
      <c r="C188" s="152" t="s">
        <v>355</v>
      </c>
      <c r="D188" s="142" t="s">
        <v>283</v>
      </c>
      <c r="E188" s="183" t="s">
        <v>284</v>
      </c>
      <c r="F188" s="151">
        <f>I188/G188</f>
        <v>1225.5466052934407</v>
      </c>
      <c r="G188" s="184">
        <v>34.76</v>
      </c>
      <c r="H188" s="185"/>
      <c r="I188" s="186">
        <f t="shared" si="1"/>
        <v>42600</v>
      </c>
      <c r="J188" s="187">
        <f t="shared" si="2"/>
        <v>42600</v>
      </c>
      <c r="K188" s="168"/>
      <c r="L188" s="258">
        <v>42600</v>
      </c>
      <c r="M188" s="151"/>
      <c r="N188" s="151"/>
      <c r="O188" s="151"/>
      <c r="P188" s="151"/>
    </row>
    <row r="189" spans="1:16" ht="31.5">
      <c r="A189" s="151">
        <v>247</v>
      </c>
      <c r="B189" s="151">
        <v>247</v>
      </c>
      <c r="C189" s="152" t="s">
        <v>397</v>
      </c>
      <c r="D189" s="142" t="s">
        <v>285</v>
      </c>
      <c r="E189" s="183" t="s">
        <v>286</v>
      </c>
      <c r="F189" s="151">
        <f>I189/G189</f>
        <v>1058.6881472957423</v>
      </c>
      <c r="G189" s="184">
        <v>34.76</v>
      </c>
      <c r="H189" s="185"/>
      <c r="I189" s="186">
        <f t="shared" si="1"/>
        <v>36800</v>
      </c>
      <c r="J189" s="187">
        <f t="shared" si="2"/>
        <v>36800</v>
      </c>
      <c r="K189" s="168"/>
      <c r="L189" s="258">
        <v>36800</v>
      </c>
      <c r="M189" s="151"/>
      <c r="N189" s="151"/>
      <c r="O189" s="151"/>
      <c r="P189" s="151"/>
    </row>
    <row r="190" spans="1:16" ht="18.75">
      <c r="A190" s="151">
        <v>244</v>
      </c>
      <c r="B190" s="151">
        <v>244</v>
      </c>
      <c r="C190" s="152" t="s">
        <v>406</v>
      </c>
      <c r="D190" s="142" t="s">
        <v>287</v>
      </c>
      <c r="E190" s="183" t="s">
        <v>284</v>
      </c>
      <c r="F190" s="151"/>
      <c r="G190" s="184"/>
      <c r="H190" s="185"/>
      <c r="I190" s="186">
        <f t="shared" si="1"/>
        <v>21400</v>
      </c>
      <c r="J190" s="187">
        <f t="shared" si="2"/>
        <v>21400</v>
      </c>
      <c r="K190" s="168"/>
      <c r="L190" s="172">
        <v>21400</v>
      </c>
      <c r="M190" s="151"/>
      <c r="N190" s="151"/>
      <c r="O190" s="151"/>
      <c r="P190" s="151"/>
    </row>
    <row r="191" spans="1:16" ht="17.25" customHeight="1">
      <c r="A191" s="151">
        <v>244</v>
      </c>
      <c r="B191" s="151">
        <v>244</v>
      </c>
      <c r="C191" s="152" t="s">
        <v>407</v>
      </c>
      <c r="D191" s="142" t="s">
        <v>325</v>
      </c>
      <c r="E191" s="183" t="s">
        <v>289</v>
      </c>
      <c r="F191" s="151">
        <v>12</v>
      </c>
      <c r="G191" s="188">
        <f>I191/F191</f>
        <v>0</v>
      </c>
      <c r="H191" s="185"/>
      <c r="I191" s="186">
        <f t="shared" si="1"/>
        <v>0</v>
      </c>
      <c r="J191" s="187">
        <f t="shared" si="2"/>
        <v>0</v>
      </c>
      <c r="K191" s="168"/>
      <c r="L191" s="172"/>
      <c r="M191" s="151"/>
      <c r="N191" s="151"/>
      <c r="O191" s="151"/>
      <c r="P191" s="151"/>
    </row>
    <row r="192" spans="1:16" ht="17.25" customHeight="1">
      <c r="A192" s="151">
        <v>244</v>
      </c>
      <c r="B192" s="151">
        <v>244</v>
      </c>
      <c r="C192" s="152" t="s">
        <v>408</v>
      </c>
      <c r="D192" s="142" t="s">
        <v>288</v>
      </c>
      <c r="E192" s="154" t="s">
        <v>289</v>
      </c>
      <c r="F192" s="151">
        <v>12</v>
      </c>
      <c r="G192" s="188">
        <f>I192/F192</f>
        <v>9583.333333333334</v>
      </c>
      <c r="H192" s="151"/>
      <c r="I192" s="186">
        <f t="shared" si="1"/>
        <v>115000</v>
      </c>
      <c r="J192" s="187">
        <f t="shared" si="2"/>
        <v>115000</v>
      </c>
      <c r="K192" s="168"/>
      <c r="L192" s="172">
        <v>115000</v>
      </c>
      <c r="M192" s="151"/>
      <c r="N192" s="151"/>
      <c r="O192" s="151"/>
      <c r="P192" s="151"/>
    </row>
    <row r="193" spans="1:16" ht="18.75">
      <c r="A193" s="151" t="s">
        <v>203</v>
      </c>
      <c r="B193" s="151" t="s">
        <v>203</v>
      </c>
      <c r="C193" s="151" t="s">
        <v>203</v>
      </c>
      <c r="D193" s="190" t="s">
        <v>29</v>
      </c>
      <c r="E193" s="191" t="s">
        <v>203</v>
      </c>
      <c r="F193" s="191" t="s">
        <v>16</v>
      </c>
      <c r="G193" s="191" t="s">
        <v>16</v>
      </c>
      <c r="H193" s="191" t="s">
        <v>16</v>
      </c>
      <c r="I193" s="192">
        <f>SUM(I185:I192)</f>
        <v>2447768.35</v>
      </c>
      <c r="J193" s="166">
        <f>L193</f>
        <v>2224006.25</v>
      </c>
      <c r="K193" s="155">
        <f>K185+K186</f>
        <v>0</v>
      </c>
      <c r="L193" s="166">
        <f>SUM(L185:L192)</f>
        <v>2224006.25</v>
      </c>
      <c r="M193" s="155"/>
      <c r="N193" s="155"/>
      <c r="O193" s="155">
        <f>O185</f>
        <v>223762.1</v>
      </c>
      <c r="P193" s="155"/>
    </row>
    <row r="194" spans="1:16" ht="18.75">
      <c r="A194" s="158">
        <f>'Раздел 1'!D68-I188-I190-I191-I192</f>
        <v>0</v>
      </c>
      <c r="B194" s="158"/>
      <c r="C194" s="163"/>
      <c r="E194" s="159"/>
      <c r="F194" s="159"/>
      <c r="G194" s="159"/>
      <c r="H194" s="159"/>
      <c r="I194" s="163"/>
      <c r="J194" s="159"/>
      <c r="K194" s="159"/>
      <c r="L194" s="159"/>
      <c r="M194" s="159"/>
      <c r="N194" s="159"/>
      <c r="O194" s="159"/>
      <c r="P194" s="159"/>
    </row>
    <row r="195" spans="1:16" ht="18.75">
      <c r="A195" s="163">
        <f>'Раздел 1'!D84-I185-I186-I187-I189</f>
        <v>0</v>
      </c>
      <c r="B195" s="361" t="s">
        <v>177</v>
      </c>
      <c r="C195" s="361"/>
      <c r="D195" s="361"/>
      <c r="E195" s="361"/>
      <c r="F195" s="361"/>
      <c r="G195" s="361"/>
      <c r="H195" s="361"/>
      <c r="I195" s="361"/>
      <c r="J195" s="361"/>
      <c r="K195" s="361"/>
      <c r="L195" s="361"/>
      <c r="M195" s="361"/>
      <c r="N195" s="361"/>
      <c r="O195" s="159"/>
      <c r="P195" s="159"/>
    </row>
    <row r="196" spans="1:16" ht="18.75">
      <c r="A196" s="160"/>
      <c r="B196" s="160"/>
      <c r="C196" s="159"/>
      <c r="E196" s="159"/>
      <c r="F196" s="159"/>
      <c r="G196" s="159"/>
      <c r="H196" s="159"/>
      <c r="I196" s="159"/>
      <c r="J196" s="159"/>
      <c r="K196" s="159"/>
      <c r="L196" s="159"/>
      <c r="M196" s="159"/>
      <c r="N196" s="159"/>
      <c r="O196" s="159"/>
      <c r="P196" s="159"/>
    </row>
    <row r="197" spans="1:16" ht="19.5" customHeight="1" hidden="1">
      <c r="A197" s="357" t="s">
        <v>107</v>
      </c>
      <c r="B197" s="357" t="s">
        <v>107</v>
      </c>
      <c r="C197" s="357" t="s">
        <v>31</v>
      </c>
      <c r="D197" s="305" t="s">
        <v>8</v>
      </c>
      <c r="E197" s="357" t="s">
        <v>178</v>
      </c>
      <c r="F197" s="357" t="s">
        <v>179</v>
      </c>
      <c r="G197" s="151" t="s">
        <v>180</v>
      </c>
      <c r="H197" s="357" t="s">
        <v>111</v>
      </c>
      <c r="I197" s="357"/>
      <c r="J197" s="357"/>
      <c r="K197" s="357"/>
      <c r="L197" s="357"/>
      <c r="M197" s="357"/>
      <c r="N197" s="357"/>
      <c r="O197" s="159"/>
      <c r="P197" s="159"/>
    </row>
    <row r="198" spans="1:16" ht="57" customHeight="1" hidden="1">
      <c r="A198" s="357"/>
      <c r="B198" s="357"/>
      <c r="C198" s="357"/>
      <c r="D198" s="305"/>
      <c r="E198" s="357"/>
      <c r="F198" s="357"/>
      <c r="G198" s="358" t="s">
        <v>499</v>
      </c>
      <c r="H198" s="357" t="s">
        <v>112</v>
      </c>
      <c r="I198" s="357"/>
      <c r="J198" s="357"/>
      <c r="K198" s="357" t="s">
        <v>113</v>
      </c>
      <c r="L198" s="357" t="s">
        <v>135</v>
      </c>
      <c r="M198" s="357" t="s">
        <v>114</v>
      </c>
      <c r="N198" s="357"/>
      <c r="O198" s="159"/>
      <c r="P198" s="159"/>
    </row>
    <row r="199" spans="1:16" ht="34.5" customHeight="1" hidden="1">
      <c r="A199" s="357"/>
      <c r="B199" s="357"/>
      <c r="C199" s="357"/>
      <c r="D199" s="305"/>
      <c r="E199" s="357"/>
      <c r="F199" s="357"/>
      <c r="G199" s="359"/>
      <c r="H199" s="357" t="s">
        <v>96</v>
      </c>
      <c r="I199" s="357" t="s">
        <v>351</v>
      </c>
      <c r="J199" s="357" t="s">
        <v>352</v>
      </c>
      <c r="K199" s="357"/>
      <c r="L199" s="357"/>
      <c r="M199" s="357"/>
      <c r="N199" s="357"/>
      <c r="O199" s="159"/>
      <c r="P199" s="159"/>
    </row>
    <row r="200" spans="1:16" ht="58.5" customHeight="1" hidden="1">
      <c r="A200" s="357"/>
      <c r="B200" s="357"/>
      <c r="C200" s="357"/>
      <c r="D200" s="305"/>
      <c r="E200" s="357"/>
      <c r="F200" s="357"/>
      <c r="G200" s="362"/>
      <c r="H200" s="357"/>
      <c r="I200" s="357"/>
      <c r="J200" s="357"/>
      <c r="K200" s="357"/>
      <c r="L200" s="357"/>
      <c r="M200" s="151" t="s">
        <v>96</v>
      </c>
      <c r="N200" s="151" t="s">
        <v>353</v>
      </c>
      <c r="O200" s="159"/>
      <c r="P200" s="159"/>
    </row>
    <row r="201" spans="1:16" ht="18.75" hidden="1">
      <c r="A201" s="151">
        <v>1</v>
      </c>
      <c r="B201" s="151">
        <v>1</v>
      </c>
      <c r="C201" s="151">
        <v>2</v>
      </c>
      <c r="D201" s="73">
        <v>3</v>
      </c>
      <c r="E201" s="151">
        <v>4</v>
      </c>
      <c r="F201" s="151">
        <v>5</v>
      </c>
      <c r="G201" s="151">
        <v>6</v>
      </c>
      <c r="H201" s="151">
        <v>7</v>
      </c>
      <c r="I201" s="151">
        <v>8</v>
      </c>
      <c r="J201" s="151">
        <v>9</v>
      </c>
      <c r="K201" s="151">
        <v>10</v>
      </c>
      <c r="L201" s="151">
        <v>11</v>
      </c>
      <c r="M201" s="151">
        <v>12</v>
      </c>
      <c r="N201" s="151">
        <v>13</v>
      </c>
      <c r="O201" s="159"/>
      <c r="P201" s="159"/>
    </row>
    <row r="202" spans="1:16" ht="18.75" hidden="1">
      <c r="A202" s="155"/>
      <c r="B202" s="155"/>
      <c r="C202" s="152" t="s">
        <v>58</v>
      </c>
      <c r="D202" s="153" t="s">
        <v>181</v>
      </c>
      <c r="E202" s="151" t="s">
        <v>16</v>
      </c>
      <c r="F202" s="151" t="s">
        <v>16</v>
      </c>
      <c r="G202" s="151" t="s">
        <v>203</v>
      </c>
      <c r="H202" s="151"/>
      <c r="I202" s="151"/>
      <c r="J202" s="151"/>
      <c r="K202" s="151"/>
      <c r="L202" s="151"/>
      <c r="M202" s="151"/>
      <c r="N202" s="151"/>
      <c r="O202" s="159"/>
      <c r="P202" s="159"/>
    </row>
    <row r="203" spans="1:16" ht="18" customHeight="1" hidden="1">
      <c r="A203" s="155"/>
      <c r="B203" s="155"/>
      <c r="C203" s="161" t="s">
        <v>124</v>
      </c>
      <c r="D203" s="162" t="s">
        <v>387</v>
      </c>
      <c r="E203" s="151" t="s">
        <v>16</v>
      </c>
      <c r="F203" s="151" t="s">
        <v>16</v>
      </c>
      <c r="G203" s="151" t="s">
        <v>16</v>
      </c>
      <c r="H203" s="151"/>
      <c r="I203" s="151"/>
      <c r="J203" s="151"/>
      <c r="K203" s="151"/>
      <c r="L203" s="151"/>
      <c r="M203" s="151"/>
      <c r="N203" s="151"/>
      <c r="O203" s="159"/>
      <c r="P203" s="159"/>
    </row>
    <row r="204" spans="1:16" ht="18" customHeight="1" hidden="1">
      <c r="A204" s="155"/>
      <c r="B204" s="155"/>
      <c r="C204" s="173" t="s">
        <v>146</v>
      </c>
      <c r="D204" s="35"/>
      <c r="E204" s="151"/>
      <c r="F204" s="151"/>
      <c r="G204" s="151"/>
      <c r="H204" s="151"/>
      <c r="I204" s="151"/>
      <c r="J204" s="151"/>
      <c r="K204" s="151"/>
      <c r="L204" s="151"/>
      <c r="M204" s="151"/>
      <c r="N204" s="151"/>
      <c r="O204" s="159"/>
      <c r="P204" s="159"/>
    </row>
    <row r="205" spans="1:16" ht="18" customHeight="1" hidden="1">
      <c r="A205" s="155"/>
      <c r="B205" s="155"/>
      <c r="C205" s="161"/>
      <c r="D205" s="162"/>
      <c r="E205" s="155"/>
      <c r="F205" s="155"/>
      <c r="G205" s="155"/>
      <c r="H205" s="151"/>
      <c r="I205" s="151"/>
      <c r="J205" s="151"/>
      <c r="K205" s="151"/>
      <c r="L205" s="151"/>
      <c r="M205" s="151"/>
      <c r="N205" s="151"/>
      <c r="O205" s="159"/>
      <c r="P205" s="159"/>
    </row>
    <row r="206" spans="1:16" ht="15.75" customHeight="1" hidden="1">
      <c r="A206" s="155"/>
      <c r="B206" s="155"/>
      <c r="C206" s="152" t="s">
        <v>262</v>
      </c>
      <c r="D206" s="153" t="s">
        <v>182</v>
      </c>
      <c r="E206" s="151" t="s">
        <v>16</v>
      </c>
      <c r="F206" s="151" t="s">
        <v>16</v>
      </c>
      <c r="G206" s="151" t="s">
        <v>203</v>
      </c>
      <c r="H206" s="151"/>
      <c r="I206" s="151"/>
      <c r="J206" s="151"/>
      <c r="K206" s="151"/>
      <c r="L206" s="151"/>
      <c r="M206" s="151"/>
      <c r="N206" s="151"/>
      <c r="O206" s="159"/>
      <c r="P206" s="159"/>
    </row>
    <row r="207" spans="1:16" ht="15.75" customHeight="1" hidden="1">
      <c r="A207" s="155"/>
      <c r="B207" s="155"/>
      <c r="C207" s="161" t="s">
        <v>136</v>
      </c>
      <c r="D207" s="162" t="s">
        <v>387</v>
      </c>
      <c r="E207" s="151" t="s">
        <v>16</v>
      </c>
      <c r="F207" s="151" t="s">
        <v>16</v>
      </c>
      <c r="G207" s="151" t="s">
        <v>16</v>
      </c>
      <c r="H207" s="151"/>
      <c r="I207" s="151"/>
      <c r="J207" s="151"/>
      <c r="K207" s="151"/>
      <c r="L207" s="151"/>
      <c r="M207" s="151"/>
      <c r="N207" s="151"/>
      <c r="O207" s="159"/>
      <c r="P207" s="159"/>
    </row>
    <row r="208" spans="1:16" ht="15.75" customHeight="1" hidden="1">
      <c r="A208" s="155"/>
      <c r="B208" s="155"/>
      <c r="C208" s="173" t="s">
        <v>382</v>
      </c>
      <c r="D208" s="35"/>
      <c r="E208" s="155"/>
      <c r="F208" s="155"/>
      <c r="G208" s="155"/>
      <c r="H208" s="151"/>
      <c r="I208" s="151"/>
      <c r="J208" s="151"/>
      <c r="K208" s="151"/>
      <c r="L208" s="151"/>
      <c r="M208" s="151"/>
      <c r="N208" s="151"/>
      <c r="O208" s="159"/>
      <c r="P208" s="159"/>
    </row>
    <row r="209" spans="1:16" ht="15.75" customHeight="1" hidden="1">
      <c r="A209" s="155"/>
      <c r="B209" s="155"/>
      <c r="C209" s="173"/>
      <c r="D209" s="35"/>
      <c r="E209" s="155"/>
      <c r="F209" s="155"/>
      <c r="G209" s="155"/>
      <c r="H209" s="151"/>
      <c r="I209" s="151"/>
      <c r="J209" s="151"/>
      <c r="K209" s="151"/>
      <c r="L209" s="151"/>
      <c r="M209" s="151"/>
      <c r="N209" s="151"/>
      <c r="O209" s="159"/>
      <c r="P209" s="159"/>
    </row>
    <row r="210" spans="1:16" ht="18.75" hidden="1">
      <c r="A210" s="151" t="s">
        <v>203</v>
      </c>
      <c r="B210" s="151" t="s">
        <v>203</v>
      </c>
      <c r="C210" s="151" t="s">
        <v>203</v>
      </c>
      <c r="D210" s="153" t="s">
        <v>29</v>
      </c>
      <c r="E210" s="151" t="s">
        <v>16</v>
      </c>
      <c r="F210" s="151" t="s">
        <v>16</v>
      </c>
      <c r="G210" s="155"/>
      <c r="H210" s="155"/>
      <c r="I210" s="155"/>
      <c r="J210" s="151"/>
      <c r="K210" s="155"/>
      <c r="L210" s="155"/>
      <c r="M210" s="155"/>
      <c r="N210" s="155"/>
      <c r="O210" s="159"/>
      <c r="P210" s="159"/>
    </row>
    <row r="211" spans="1:16" ht="18.75">
      <c r="A211" s="160"/>
      <c r="B211" s="160"/>
      <c r="C211" s="159"/>
      <c r="E211" s="159"/>
      <c r="F211" s="159"/>
      <c r="G211" s="159"/>
      <c r="H211" s="159"/>
      <c r="I211" s="159"/>
      <c r="J211" s="159"/>
      <c r="K211" s="159"/>
      <c r="L211" s="159"/>
      <c r="M211" s="159"/>
      <c r="N211" s="159"/>
      <c r="O211" s="159"/>
      <c r="P211" s="159"/>
    </row>
    <row r="212" spans="2:16" ht="18.75">
      <c r="B212" s="361" t="s">
        <v>183</v>
      </c>
      <c r="C212" s="361"/>
      <c r="D212" s="361"/>
      <c r="E212" s="361"/>
      <c r="F212" s="361"/>
      <c r="G212" s="361"/>
      <c r="H212" s="361"/>
      <c r="I212" s="361"/>
      <c r="J212" s="361"/>
      <c r="K212" s="361"/>
      <c r="L212" s="361"/>
      <c r="M212" s="361"/>
      <c r="N212" s="361"/>
      <c r="O212" s="159"/>
      <c r="P212" s="159"/>
    </row>
    <row r="213" spans="1:16" ht="18.75">
      <c r="A213" s="160"/>
      <c r="B213" s="160"/>
      <c r="C213" s="159"/>
      <c r="E213" s="159"/>
      <c r="F213" s="159"/>
      <c r="G213" s="159"/>
      <c r="H213" s="159"/>
      <c r="I213" s="159"/>
      <c r="J213" s="159"/>
      <c r="K213" s="159"/>
      <c r="L213" s="159"/>
      <c r="M213" s="159"/>
      <c r="N213" s="159"/>
      <c r="O213" s="159"/>
      <c r="P213" s="159"/>
    </row>
    <row r="214" spans="1:16" ht="19.5" customHeight="1">
      <c r="A214" s="357" t="s">
        <v>107</v>
      </c>
      <c r="B214" s="357" t="s">
        <v>107</v>
      </c>
      <c r="C214" s="357" t="s">
        <v>31</v>
      </c>
      <c r="D214" s="305" t="s">
        <v>30</v>
      </c>
      <c r="E214" s="357" t="s">
        <v>184</v>
      </c>
      <c r="F214" s="357" t="s">
        <v>185</v>
      </c>
      <c r="G214" s="357" t="s">
        <v>500</v>
      </c>
      <c r="H214" s="357" t="s">
        <v>111</v>
      </c>
      <c r="I214" s="357"/>
      <c r="J214" s="357"/>
      <c r="K214" s="357"/>
      <c r="L214" s="357"/>
      <c r="M214" s="357"/>
      <c r="N214" s="357"/>
      <c r="O214" s="159"/>
      <c r="P214" s="159"/>
    </row>
    <row r="215" spans="1:16" ht="81" customHeight="1">
      <c r="A215" s="357"/>
      <c r="B215" s="357"/>
      <c r="C215" s="357"/>
      <c r="D215" s="305"/>
      <c r="E215" s="357"/>
      <c r="F215" s="357"/>
      <c r="G215" s="357"/>
      <c r="H215" s="357" t="s">
        <v>112</v>
      </c>
      <c r="I215" s="357"/>
      <c r="J215" s="357"/>
      <c r="K215" s="357" t="s">
        <v>113</v>
      </c>
      <c r="L215" s="357" t="s">
        <v>135</v>
      </c>
      <c r="M215" s="357" t="s">
        <v>114</v>
      </c>
      <c r="N215" s="357"/>
      <c r="O215" s="159"/>
      <c r="P215" s="159"/>
    </row>
    <row r="216" spans="1:16" ht="22.5" customHeight="1">
      <c r="A216" s="357"/>
      <c r="B216" s="357"/>
      <c r="C216" s="357"/>
      <c r="D216" s="305"/>
      <c r="E216" s="357"/>
      <c r="F216" s="357"/>
      <c r="G216" s="357"/>
      <c r="H216" s="357" t="s">
        <v>96</v>
      </c>
      <c r="I216" s="357" t="s">
        <v>351</v>
      </c>
      <c r="J216" s="357" t="s">
        <v>352</v>
      </c>
      <c r="K216" s="357"/>
      <c r="L216" s="357"/>
      <c r="M216" s="357"/>
      <c r="N216" s="357"/>
      <c r="O216" s="159"/>
      <c r="P216" s="159"/>
    </row>
    <row r="217" spans="1:16" ht="19.5" customHeight="1">
      <c r="A217" s="357"/>
      <c r="B217" s="357"/>
      <c r="C217" s="357"/>
      <c r="D217" s="305"/>
      <c r="E217" s="357"/>
      <c r="F217" s="357"/>
      <c r="G217" s="357"/>
      <c r="H217" s="357"/>
      <c r="I217" s="357"/>
      <c r="J217" s="357"/>
      <c r="K217" s="357"/>
      <c r="L217" s="357"/>
      <c r="M217" s="151" t="s">
        <v>96</v>
      </c>
      <c r="N217" s="151" t="s">
        <v>353</v>
      </c>
      <c r="O217" s="159"/>
      <c r="P217" s="159"/>
    </row>
    <row r="218" spans="1:16" ht="13.5" customHeight="1">
      <c r="A218" s="151">
        <v>1</v>
      </c>
      <c r="B218" s="151">
        <v>1</v>
      </c>
      <c r="C218" s="151">
        <v>2</v>
      </c>
      <c r="D218" s="73">
        <v>3</v>
      </c>
      <c r="E218" s="151">
        <v>4</v>
      </c>
      <c r="F218" s="151">
        <v>5</v>
      </c>
      <c r="G218" s="151">
        <v>6</v>
      </c>
      <c r="H218" s="151">
        <v>7</v>
      </c>
      <c r="I218" s="151">
        <v>8</v>
      </c>
      <c r="J218" s="151">
        <v>9</v>
      </c>
      <c r="K218" s="151">
        <v>10</v>
      </c>
      <c r="L218" s="151">
        <v>11</v>
      </c>
      <c r="M218" s="151">
        <v>12</v>
      </c>
      <c r="N218" s="151">
        <v>13</v>
      </c>
      <c r="O218" s="159"/>
      <c r="P218" s="159"/>
    </row>
    <row r="219" spans="1:16" ht="34.5" customHeight="1">
      <c r="A219" s="155"/>
      <c r="B219" s="155"/>
      <c r="C219" s="152" t="s">
        <v>58</v>
      </c>
      <c r="D219" s="153" t="s">
        <v>392</v>
      </c>
      <c r="E219" s="151" t="s">
        <v>16</v>
      </c>
      <c r="F219" s="151" t="s">
        <v>16</v>
      </c>
      <c r="G219" s="155">
        <f>SUM(G220:G221)</f>
        <v>0</v>
      </c>
      <c r="H219" s="155">
        <f>SUM(H220:H221)</f>
        <v>0</v>
      </c>
      <c r="I219" s="155">
        <f>SUM(I220:I221)</f>
        <v>0</v>
      </c>
      <c r="J219" s="155">
        <f>SUM(J220:J221)</f>
        <v>0</v>
      </c>
      <c r="K219" s="155">
        <f>SUM(K220:K221)</f>
        <v>0</v>
      </c>
      <c r="L219" s="151"/>
      <c r="M219" s="151"/>
      <c r="N219" s="151"/>
      <c r="O219" s="159"/>
      <c r="P219" s="159"/>
    </row>
    <row r="220" spans="1:16" ht="18.75">
      <c r="A220" s="155"/>
      <c r="B220" s="155"/>
      <c r="C220" s="161" t="s">
        <v>124</v>
      </c>
      <c r="D220" s="162"/>
      <c r="E220" s="151" t="s">
        <v>203</v>
      </c>
      <c r="F220" s="151" t="s">
        <v>203</v>
      </c>
      <c r="G220" s="155"/>
      <c r="H220" s="151"/>
      <c r="I220" s="151"/>
      <c r="J220" s="151"/>
      <c r="K220" s="151"/>
      <c r="L220" s="151"/>
      <c r="M220" s="151"/>
      <c r="N220" s="151"/>
      <c r="O220" s="159"/>
      <c r="P220" s="159"/>
    </row>
    <row r="221" spans="1:16" ht="18.75">
      <c r="A221" s="155"/>
      <c r="B221" s="155"/>
      <c r="C221" s="173" t="s">
        <v>146</v>
      </c>
      <c r="D221" s="35"/>
      <c r="E221" s="151"/>
      <c r="F221" s="151"/>
      <c r="G221" s="155"/>
      <c r="H221" s="151"/>
      <c r="I221" s="151"/>
      <c r="J221" s="151"/>
      <c r="K221" s="151"/>
      <c r="L221" s="151"/>
      <c r="M221" s="151"/>
      <c r="N221" s="151"/>
      <c r="O221" s="159"/>
      <c r="P221" s="159"/>
    </row>
    <row r="222" spans="1:16" ht="18.75">
      <c r="A222" s="155"/>
      <c r="B222" s="155"/>
      <c r="C222" s="161"/>
      <c r="D222" s="162"/>
      <c r="E222" s="151"/>
      <c r="F222" s="151"/>
      <c r="G222" s="155"/>
      <c r="H222" s="151"/>
      <c r="I222" s="151"/>
      <c r="J222" s="151"/>
      <c r="K222" s="151"/>
      <c r="L222" s="151"/>
      <c r="M222" s="151"/>
      <c r="N222" s="151"/>
      <c r="O222" s="159"/>
      <c r="P222" s="159"/>
    </row>
    <row r="223" spans="1:16" ht="29.25" customHeight="1">
      <c r="A223" s="155"/>
      <c r="B223" s="155"/>
      <c r="C223" s="152" t="s">
        <v>262</v>
      </c>
      <c r="D223" s="153" t="s">
        <v>393</v>
      </c>
      <c r="E223" s="151" t="s">
        <v>203</v>
      </c>
      <c r="F223" s="151" t="s">
        <v>203</v>
      </c>
      <c r="G223" s="155">
        <f>H223</f>
        <v>121900</v>
      </c>
      <c r="H223" s="155">
        <f>J223</f>
        <v>121900</v>
      </c>
      <c r="I223" s="155">
        <f>SUM(I224:I225)</f>
        <v>0</v>
      </c>
      <c r="J223" s="155">
        <f>SUM(J224:J225)</f>
        <v>121900</v>
      </c>
      <c r="K223" s="155">
        <f>SUM(K224:K225)</f>
        <v>0</v>
      </c>
      <c r="L223" s="151"/>
      <c r="M223" s="151"/>
      <c r="N223" s="151"/>
      <c r="O223" s="159"/>
      <c r="P223" s="159"/>
    </row>
    <row r="224" spans="1:16" ht="15.75" customHeight="1">
      <c r="A224" s="155">
        <v>244</v>
      </c>
      <c r="B224" s="155">
        <v>244</v>
      </c>
      <c r="C224" s="161" t="s">
        <v>136</v>
      </c>
      <c r="D224" s="65" t="s">
        <v>186</v>
      </c>
      <c r="E224" s="155">
        <v>12</v>
      </c>
      <c r="F224" s="193">
        <f>G224/E224</f>
        <v>10158.333333333334</v>
      </c>
      <c r="G224" s="155">
        <f>H224</f>
        <v>121900</v>
      </c>
      <c r="H224" s="168">
        <f>J224</f>
        <v>121900</v>
      </c>
      <c r="I224" s="168"/>
      <c r="J224" s="194">
        <f>141900-20000</f>
        <v>121900</v>
      </c>
      <c r="K224" s="151"/>
      <c r="L224" s="151"/>
      <c r="M224" s="151"/>
      <c r="N224" s="151"/>
      <c r="O224" s="159"/>
      <c r="P224" s="159"/>
    </row>
    <row r="225" spans="1:16" ht="15.75" customHeight="1">
      <c r="A225" s="155"/>
      <c r="B225" s="155"/>
      <c r="C225" s="161"/>
      <c r="D225" s="162"/>
      <c r="E225" s="155"/>
      <c r="F225" s="155"/>
      <c r="G225" s="155"/>
      <c r="H225" s="168"/>
      <c r="I225" s="168"/>
      <c r="J225" s="194"/>
      <c r="K225" s="151"/>
      <c r="L225" s="151"/>
      <c r="M225" s="151"/>
      <c r="N225" s="151"/>
      <c r="O225" s="159"/>
      <c r="P225" s="159"/>
    </row>
    <row r="226" spans="1:16" ht="28.5" customHeight="1">
      <c r="A226" s="155"/>
      <c r="B226" s="155"/>
      <c r="C226" s="152" t="s">
        <v>354</v>
      </c>
      <c r="D226" s="153" t="s">
        <v>394</v>
      </c>
      <c r="E226" s="151" t="s">
        <v>16</v>
      </c>
      <c r="F226" s="151" t="s">
        <v>16</v>
      </c>
      <c r="G226" s="155">
        <f>H226</f>
        <v>85400</v>
      </c>
      <c r="H226" s="155">
        <f>SUM(H227:H228)</f>
        <v>85400</v>
      </c>
      <c r="I226" s="155">
        <f>SUM(I227:I228)</f>
        <v>0</v>
      </c>
      <c r="J226" s="155">
        <f>SUM(J227:J228)</f>
        <v>85400</v>
      </c>
      <c r="K226" s="155">
        <f>SUM(K227:K228)</f>
        <v>0</v>
      </c>
      <c r="L226" s="151"/>
      <c r="M226" s="151"/>
      <c r="N226" s="151"/>
      <c r="O226" s="159"/>
      <c r="P226" s="159"/>
    </row>
    <row r="227" spans="1:16" ht="14.25" customHeight="1">
      <c r="A227" s="155">
        <v>244</v>
      </c>
      <c r="B227" s="155">
        <v>244</v>
      </c>
      <c r="C227" s="161" t="s">
        <v>142</v>
      </c>
      <c r="D227" s="162" t="s">
        <v>409</v>
      </c>
      <c r="E227" s="151">
        <v>12</v>
      </c>
      <c r="F227" s="195">
        <f>G227/E227</f>
        <v>7116.666666666667</v>
      </c>
      <c r="G227" s="168">
        <f>H227</f>
        <v>85400</v>
      </c>
      <c r="H227" s="168">
        <f>J227</f>
        <v>85400</v>
      </c>
      <c r="I227" s="168"/>
      <c r="J227" s="194">
        <v>85400</v>
      </c>
      <c r="K227" s="151"/>
      <c r="L227" s="151"/>
      <c r="M227" s="151"/>
      <c r="N227" s="151"/>
      <c r="O227" s="159"/>
      <c r="P227" s="159"/>
    </row>
    <row r="228" spans="1:16" ht="24" customHeight="1">
      <c r="A228" s="155"/>
      <c r="B228" s="155">
        <v>244</v>
      </c>
      <c r="C228" s="161" t="s">
        <v>449</v>
      </c>
      <c r="D228" s="153" t="s">
        <v>450</v>
      </c>
      <c r="E228" s="155">
        <v>1</v>
      </c>
      <c r="F228" s="195">
        <f>G228/E228</f>
        <v>0</v>
      </c>
      <c r="G228" s="155"/>
      <c r="H228" s="151"/>
      <c r="I228" s="151"/>
      <c r="J228" s="196"/>
      <c r="K228" s="151"/>
      <c r="L228" s="151"/>
      <c r="M228" s="151"/>
      <c r="N228" s="151"/>
      <c r="O228" s="159"/>
      <c r="P228" s="159"/>
    </row>
    <row r="229" spans="1:16" ht="96.75" customHeight="1">
      <c r="A229" s="155"/>
      <c r="B229" s="155"/>
      <c r="C229" s="152" t="s">
        <v>355</v>
      </c>
      <c r="D229" s="153" t="s">
        <v>395</v>
      </c>
      <c r="E229" s="151" t="s">
        <v>16</v>
      </c>
      <c r="F229" s="151" t="s">
        <v>16</v>
      </c>
      <c r="G229" s="155">
        <f>SUM(G230:G232)</f>
        <v>0</v>
      </c>
      <c r="H229" s="155">
        <f>SUM(H230:H232)</f>
        <v>0</v>
      </c>
      <c r="I229" s="155">
        <f>SUM(I230:I232)</f>
        <v>0</v>
      </c>
      <c r="J229" s="155">
        <f>SUM(J230:J232)</f>
        <v>0</v>
      </c>
      <c r="K229" s="155">
        <f>SUM(K230:K232)</f>
        <v>0</v>
      </c>
      <c r="L229" s="151"/>
      <c r="M229" s="151"/>
      <c r="N229" s="151"/>
      <c r="O229" s="159"/>
      <c r="P229" s="159"/>
    </row>
    <row r="230" spans="1:16" ht="15.75" customHeight="1">
      <c r="A230" s="155"/>
      <c r="B230" s="155"/>
      <c r="C230" s="161" t="s">
        <v>187</v>
      </c>
      <c r="D230" s="162"/>
      <c r="E230" s="151" t="s">
        <v>16</v>
      </c>
      <c r="F230" s="151" t="s">
        <v>16</v>
      </c>
      <c r="G230" s="151"/>
      <c r="H230" s="151"/>
      <c r="I230" s="151"/>
      <c r="J230" s="196"/>
      <c r="K230" s="151"/>
      <c r="L230" s="151"/>
      <c r="M230" s="151"/>
      <c r="N230" s="151"/>
      <c r="O230" s="159"/>
      <c r="P230" s="159"/>
    </row>
    <row r="231" spans="1:16" ht="15.75" customHeight="1">
      <c r="A231" s="155"/>
      <c r="B231" s="155"/>
      <c r="C231" s="173" t="s">
        <v>396</v>
      </c>
      <c r="D231" s="35"/>
      <c r="E231" s="155"/>
      <c r="F231" s="155"/>
      <c r="G231" s="155"/>
      <c r="H231" s="151"/>
      <c r="I231" s="151"/>
      <c r="J231" s="196"/>
      <c r="K231" s="151"/>
      <c r="L231" s="151"/>
      <c r="M231" s="151"/>
      <c r="N231" s="151"/>
      <c r="O231" s="159"/>
      <c r="P231" s="159"/>
    </row>
    <row r="232" spans="1:16" ht="15.75" customHeight="1">
      <c r="A232" s="155"/>
      <c r="B232" s="155"/>
      <c r="C232" s="152"/>
      <c r="D232" s="153"/>
      <c r="E232" s="155"/>
      <c r="F232" s="155"/>
      <c r="G232" s="155"/>
      <c r="H232" s="151"/>
      <c r="I232" s="151"/>
      <c r="J232" s="196"/>
      <c r="K232" s="151"/>
      <c r="L232" s="151"/>
      <c r="M232" s="151"/>
      <c r="N232" s="151"/>
      <c r="O232" s="159"/>
      <c r="P232" s="159"/>
    </row>
    <row r="233" spans="1:16" ht="27.75" customHeight="1">
      <c r="A233" s="155"/>
      <c r="B233" s="155"/>
      <c r="C233" s="152" t="s">
        <v>397</v>
      </c>
      <c r="D233" s="153" t="s">
        <v>398</v>
      </c>
      <c r="E233" s="151" t="s">
        <v>16</v>
      </c>
      <c r="F233" s="151" t="s">
        <v>16</v>
      </c>
      <c r="G233" s="155">
        <f>SUM(G234:G245)</f>
        <v>325772.16000000003</v>
      </c>
      <c r="H233" s="155">
        <f aca="true" t="shared" si="3" ref="H233:M233">SUM(H234:H245)</f>
        <v>325772.16000000003</v>
      </c>
      <c r="I233" s="155">
        <f t="shared" si="3"/>
        <v>9000</v>
      </c>
      <c r="J233" s="189">
        <f>SUM(J234:J245)</f>
        <v>316772.16000000003</v>
      </c>
      <c r="K233" s="155">
        <f t="shared" si="3"/>
        <v>0</v>
      </c>
      <c r="L233" s="155">
        <f t="shared" si="3"/>
        <v>0</v>
      </c>
      <c r="M233" s="155">
        <f t="shared" si="3"/>
        <v>0</v>
      </c>
      <c r="N233" s="151"/>
      <c r="O233" s="159"/>
      <c r="P233" s="159"/>
    </row>
    <row r="234" spans="1:16" ht="31.5">
      <c r="A234" s="155">
        <v>244</v>
      </c>
      <c r="B234" s="155">
        <v>244</v>
      </c>
      <c r="C234" s="161" t="s">
        <v>188</v>
      </c>
      <c r="D234" s="65" t="s">
        <v>410</v>
      </c>
      <c r="E234" s="155">
        <v>12</v>
      </c>
      <c r="F234" s="155">
        <f>G234/E234</f>
        <v>3500</v>
      </c>
      <c r="G234" s="155">
        <f>H234</f>
        <v>42000</v>
      </c>
      <c r="H234" s="168">
        <f>J234</f>
        <v>42000</v>
      </c>
      <c r="I234" s="168"/>
      <c r="J234" s="194">
        <v>42000</v>
      </c>
      <c r="K234" s="151"/>
      <c r="L234" s="151"/>
      <c r="M234" s="168"/>
      <c r="N234" s="151"/>
      <c r="O234" s="159"/>
      <c r="P234" s="159"/>
    </row>
    <row r="235" spans="1:16" ht="31.5">
      <c r="A235" s="155">
        <v>244</v>
      </c>
      <c r="B235" s="155">
        <v>244</v>
      </c>
      <c r="C235" s="161" t="s">
        <v>290</v>
      </c>
      <c r="D235" s="65" t="s">
        <v>411</v>
      </c>
      <c r="E235" s="155">
        <v>12</v>
      </c>
      <c r="F235" s="155">
        <f>G235/E235</f>
        <v>12008.333333333334</v>
      </c>
      <c r="G235" s="155">
        <f aca="true" t="shared" si="4" ref="G235:G244">H235</f>
        <v>144100</v>
      </c>
      <c r="H235" s="168">
        <f aca="true" t="shared" si="5" ref="H235:H245">J235</f>
        <v>144100</v>
      </c>
      <c r="I235" s="168"/>
      <c r="J235" s="194">
        <v>144100</v>
      </c>
      <c r="K235" s="151"/>
      <c r="L235" s="151"/>
      <c r="M235" s="168"/>
      <c r="N235" s="151"/>
      <c r="O235" s="159"/>
      <c r="P235" s="159"/>
    </row>
    <row r="236" spans="1:16" ht="31.5">
      <c r="A236" s="155">
        <v>244</v>
      </c>
      <c r="B236" s="155">
        <v>244</v>
      </c>
      <c r="C236" s="161" t="s">
        <v>292</v>
      </c>
      <c r="D236" s="65" t="s">
        <v>412</v>
      </c>
      <c r="E236" s="155">
        <v>12</v>
      </c>
      <c r="F236" s="155">
        <f>G236/E236</f>
        <v>652.68</v>
      </c>
      <c r="G236" s="155">
        <f t="shared" si="4"/>
        <v>7832.16</v>
      </c>
      <c r="H236" s="168">
        <f t="shared" si="5"/>
        <v>7832.16</v>
      </c>
      <c r="I236" s="168"/>
      <c r="J236" s="194">
        <f>7700+132.16</f>
        <v>7832.16</v>
      </c>
      <c r="K236" s="151"/>
      <c r="L236" s="151"/>
      <c r="M236" s="168"/>
      <c r="N236" s="151"/>
      <c r="O236" s="159"/>
      <c r="P236" s="159"/>
    </row>
    <row r="237" spans="1:16" ht="31.5">
      <c r="A237" s="155">
        <v>244</v>
      </c>
      <c r="B237" s="155">
        <v>244</v>
      </c>
      <c r="C237" s="161" t="s">
        <v>415</v>
      </c>
      <c r="D237" s="65" t="s">
        <v>413</v>
      </c>
      <c r="E237" s="155">
        <v>12</v>
      </c>
      <c r="F237" s="155">
        <f>G237/E237</f>
        <v>1903.3333333333333</v>
      </c>
      <c r="G237" s="155">
        <f t="shared" si="4"/>
        <v>22840</v>
      </c>
      <c r="H237" s="168">
        <f t="shared" si="5"/>
        <v>22840</v>
      </c>
      <c r="I237" s="168"/>
      <c r="J237" s="194">
        <f>22800+40</f>
        <v>22840</v>
      </c>
      <c r="K237" s="151"/>
      <c r="L237" s="151"/>
      <c r="M237" s="168"/>
      <c r="N237" s="151"/>
      <c r="O237" s="159"/>
      <c r="P237" s="159"/>
    </row>
    <row r="238" spans="1:16" ht="31.5">
      <c r="A238" s="155">
        <v>244</v>
      </c>
      <c r="B238" s="155">
        <v>244</v>
      </c>
      <c r="C238" s="161" t="s">
        <v>416</v>
      </c>
      <c r="D238" s="162" t="s">
        <v>414</v>
      </c>
      <c r="E238" s="155">
        <v>1</v>
      </c>
      <c r="F238" s="155">
        <f>G238/E238</f>
        <v>9000</v>
      </c>
      <c r="G238" s="155">
        <f t="shared" si="4"/>
        <v>9000</v>
      </c>
      <c r="H238" s="168">
        <f>I238</f>
        <v>9000</v>
      </c>
      <c r="I238" s="168">
        <v>9000</v>
      </c>
      <c r="J238" s="194"/>
      <c r="K238" s="151"/>
      <c r="L238" s="151"/>
      <c r="M238" s="168"/>
      <c r="N238" s="151"/>
      <c r="O238" s="159"/>
      <c r="P238" s="159"/>
    </row>
    <row r="239" spans="1:16" ht="31.5">
      <c r="A239" s="155">
        <v>244</v>
      </c>
      <c r="B239" s="155">
        <v>244</v>
      </c>
      <c r="C239" s="161" t="s">
        <v>417</v>
      </c>
      <c r="D239" s="162" t="s">
        <v>326</v>
      </c>
      <c r="E239" s="155">
        <v>1</v>
      </c>
      <c r="F239" s="155">
        <f>G239</f>
        <v>0</v>
      </c>
      <c r="G239" s="155">
        <f t="shared" si="4"/>
        <v>0</v>
      </c>
      <c r="H239" s="168">
        <f t="shared" si="5"/>
        <v>0</v>
      </c>
      <c r="I239" s="151"/>
      <c r="J239" s="196"/>
      <c r="K239" s="151"/>
      <c r="L239" s="151"/>
      <c r="M239" s="168"/>
      <c r="N239" s="151"/>
      <c r="O239" s="159"/>
      <c r="P239" s="159"/>
    </row>
    <row r="240" spans="1:16" ht="18.75">
      <c r="A240" s="155">
        <v>244</v>
      </c>
      <c r="B240" s="155">
        <v>244</v>
      </c>
      <c r="C240" s="161" t="s">
        <v>451</v>
      </c>
      <c r="D240" s="162" t="s">
        <v>523</v>
      </c>
      <c r="E240" s="155">
        <v>7</v>
      </c>
      <c r="F240" s="155">
        <f aca="true" t="shared" si="6" ref="F240:F245">G240/E240</f>
        <v>12857.142857142857</v>
      </c>
      <c r="G240" s="155">
        <f t="shared" si="4"/>
        <v>90000</v>
      </c>
      <c r="H240" s="168">
        <f t="shared" si="5"/>
        <v>90000</v>
      </c>
      <c r="I240" s="151"/>
      <c r="J240" s="196">
        <v>90000</v>
      </c>
      <c r="K240" s="151"/>
      <c r="L240" s="151"/>
      <c r="M240" s="151"/>
      <c r="N240" s="151"/>
      <c r="O240" s="159"/>
      <c r="P240" s="159"/>
    </row>
    <row r="241" spans="1:16" ht="18.75">
      <c r="A241" s="155">
        <v>244</v>
      </c>
      <c r="B241" s="155">
        <v>244</v>
      </c>
      <c r="C241" s="161" t="s">
        <v>457</v>
      </c>
      <c r="D241" s="153" t="s">
        <v>459</v>
      </c>
      <c r="E241" s="155">
        <v>1</v>
      </c>
      <c r="F241" s="155">
        <f t="shared" si="6"/>
        <v>0</v>
      </c>
      <c r="G241" s="155">
        <f t="shared" si="4"/>
        <v>0</v>
      </c>
      <c r="H241" s="168">
        <f t="shared" si="5"/>
        <v>0</v>
      </c>
      <c r="I241" s="151"/>
      <c r="J241" s="196"/>
      <c r="K241" s="151"/>
      <c r="L241" s="151"/>
      <c r="M241" s="151"/>
      <c r="N241" s="151"/>
      <c r="O241" s="159"/>
      <c r="P241" s="159"/>
    </row>
    <row r="242" spans="1:16" ht="31.5">
      <c r="A242" s="155"/>
      <c r="B242" s="155">
        <v>244</v>
      </c>
      <c r="C242" s="161" t="s">
        <v>467</v>
      </c>
      <c r="D242" s="153" t="s">
        <v>454</v>
      </c>
      <c r="E242" s="155">
        <v>1</v>
      </c>
      <c r="F242" s="155">
        <f t="shared" si="6"/>
        <v>10000</v>
      </c>
      <c r="G242" s="155">
        <f t="shared" si="4"/>
        <v>10000</v>
      </c>
      <c r="H242" s="168">
        <f t="shared" si="5"/>
        <v>10000</v>
      </c>
      <c r="I242" s="151"/>
      <c r="J242" s="196">
        <v>10000</v>
      </c>
      <c r="K242" s="151"/>
      <c r="L242" s="151"/>
      <c r="M242" s="151"/>
      <c r="N242" s="151"/>
      <c r="O242" s="159"/>
      <c r="P242" s="159"/>
    </row>
    <row r="243" spans="1:16" ht="18.75">
      <c r="A243" s="155"/>
      <c r="B243" s="155">
        <v>244</v>
      </c>
      <c r="C243" s="161" t="s">
        <v>468</v>
      </c>
      <c r="D243" s="153" t="s">
        <v>464</v>
      </c>
      <c r="E243" s="155">
        <v>1</v>
      </c>
      <c r="F243" s="155">
        <f t="shared" si="6"/>
        <v>0</v>
      </c>
      <c r="G243" s="155">
        <f t="shared" si="4"/>
        <v>0</v>
      </c>
      <c r="H243" s="168">
        <f t="shared" si="5"/>
        <v>0</v>
      </c>
      <c r="I243" s="151"/>
      <c r="J243" s="196"/>
      <c r="K243" s="151"/>
      <c r="L243" s="151"/>
      <c r="M243" s="151"/>
      <c r="N243" s="151"/>
      <c r="O243" s="159"/>
      <c r="P243" s="159"/>
    </row>
    <row r="244" spans="1:16" ht="31.5">
      <c r="A244" s="155"/>
      <c r="B244" s="155">
        <v>244</v>
      </c>
      <c r="C244" s="161" t="s">
        <v>470</v>
      </c>
      <c r="D244" s="153" t="s">
        <v>471</v>
      </c>
      <c r="E244" s="155">
        <v>1</v>
      </c>
      <c r="F244" s="155">
        <f t="shared" si="6"/>
        <v>0</v>
      </c>
      <c r="G244" s="155">
        <f t="shared" si="4"/>
        <v>0</v>
      </c>
      <c r="H244" s="168">
        <f t="shared" si="5"/>
        <v>0</v>
      </c>
      <c r="I244" s="151"/>
      <c r="J244" s="196"/>
      <c r="K244" s="151"/>
      <c r="L244" s="151"/>
      <c r="M244" s="151"/>
      <c r="N244" s="151"/>
      <c r="O244" s="159"/>
      <c r="P244" s="159"/>
    </row>
    <row r="245" spans="1:16" ht="18.75">
      <c r="A245" s="155"/>
      <c r="B245" s="155">
        <v>244</v>
      </c>
      <c r="C245" s="161" t="s">
        <v>472</v>
      </c>
      <c r="D245" s="153" t="s">
        <v>473</v>
      </c>
      <c r="E245" s="155">
        <v>1</v>
      </c>
      <c r="F245" s="155">
        <f t="shared" si="6"/>
        <v>0</v>
      </c>
      <c r="G245" s="155">
        <f>H245</f>
        <v>0</v>
      </c>
      <c r="H245" s="168">
        <f t="shared" si="5"/>
        <v>0</v>
      </c>
      <c r="I245" s="151"/>
      <c r="J245" s="196"/>
      <c r="K245" s="151"/>
      <c r="L245" s="151"/>
      <c r="M245" s="151"/>
      <c r="N245" s="151"/>
      <c r="O245" s="159"/>
      <c r="P245" s="159"/>
    </row>
    <row r="246" spans="1:16" ht="18.75">
      <c r="A246" s="151" t="s">
        <v>203</v>
      </c>
      <c r="B246" s="151" t="s">
        <v>203</v>
      </c>
      <c r="C246" s="151" t="s">
        <v>203</v>
      </c>
      <c r="D246" s="153" t="s">
        <v>29</v>
      </c>
      <c r="E246" s="151" t="s">
        <v>16</v>
      </c>
      <c r="F246" s="151" t="s">
        <v>16</v>
      </c>
      <c r="G246" s="155">
        <f>G219+G223+G226+G229+G233</f>
        <v>533072.16</v>
      </c>
      <c r="H246" s="155">
        <f aca="true" t="shared" si="7" ref="H246:M246">H219+H223+H226+H233</f>
        <v>533072.16</v>
      </c>
      <c r="I246" s="155">
        <f t="shared" si="7"/>
        <v>9000</v>
      </c>
      <c r="J246" s="155">
        <f t="shared" si="7"/>
        <v>524072.16000000003</v>
      </c>
      <c r="K246" s="155">
        <f t="shared" si="7"/>
        <v>0</v>
      </c>
      <c r="L246" s="155">
        <f t="shared" si="7"/>
        <v>0</v>
      </c>
      <c r="M246" s="155">
        <f t="shared" si="7"/>
        <v>0</v>
      </c>
      <c r="N246" s="155"/>
      <c r="O246" s="159"/>
      <c r="P246" s="159"/>
    </row>
    <row r="247" spans="1:16" ht="18.75">
      <c r="A247" s="158">
        <f>'Раздел 1'!D77-G246</f>
        <v>0</v>
      </c>
      <c r="B247" s="158"/>
      <c r="C247" s="159"/>
      <c r="E247" s="159"/>
      <c r="F247" s="159"/>
      <c r="G247" s="182"/>
      <c r="H247" s="159"/>
      <c r="I247" s="169">
        <f>'Раздел 1'!T77</f>
        <v>9000</v>
      </c>
      <c r="J247" s="169">
        <f>'Раздел 1'!L77</f>
        <v>514072.16</v>
      </c>
      <c r="K247" s="169">
        <f>'Раздел 1'!AB77</f>
        <v>10000</v>
      </c>
      <c r="L247" s="222"/>
      <c r="M247" s="169">
        <f>'Раздел 1'!AJ77</f>
        <v>0</v>
      </c>
      <c r="N247" s="159"/>
      <c r="O247" s="159"/>
      <c r="P247" s="159"/>
    </row>
    <row r="248" spans="2:16" ht="18.75">
      <c r="B248" s="361" t="s">
        <v>189</v>
      </c>
      <c r="C248" s="361"/>
      <c r="D248" s="361"/>
      <c r="E248" s="361"/>
      <c r="F248" s="361"/>
      <c r="G248" s="361"/>
      <c r="H248" s="361"/>
      <c r="I248" s="361"/>
      <c r="J248" s="361"/>
      <c r="K248" s="361"/>
      <c r="L248" s="361"/>
      <c r="M248" s="361"/>
      <c r="N248" s="361"/>
      <c r="O248" s="159"/>
      <c r="P248" s="159"/>
    </row>
    <row r="249" spans="1:16" ht="18.75">
      <c r="A249" s="160"/>
      <c r="B249" s="160"/>
      <c r="C249" s="159"/>
      <c r="E249" s="159"/>
      <c r="F249" s="159"/>
      <c r="G249" s="159"/>
      <c r="H249" s="159"/>
      <c r="I249" s="159"/>
      <c r="J249" s="159"/>
      <c r="K249" s="159"/>
      <c r="L249" s="159"/>
      <c r="M249" s="159"/>
      <c r="N249" s="159"/>
      <c r="O249" s="159"/>
      <c r="P249" s="159"/>
    </row>
    <row r="250" spans="1:16" ht="19.5" customHeight="1">
      <c r="A250" s="357" t="s">
        <v>107</v>
      </c>
      <c r="B250" s="357" t="s">
        <v>107</v>
      </c>
      <c r="C250" s="357" t="s">
        <v>31</v>
      </c>
      <c r="D250" s="305" t="s">
        <v>30</v>
      </c>
      <c r="E250" s="357" t="s">
        <v>190</v>
      </c>
      <c r="F250" s="357" t="s">
        <v>191</v>
      </c>
      <c r="G250" s="357" t="s">
        <v>501</v>
      </c>
      <c r="H250" s="357" t="s">
        <v>111</v>
      </c>
      <c r="I250" s="357"/>
      <c r="J250" s="357"/>
      <c r="K250" s="357"/>
      <c r="L250" s="357"/>
      <c r="M250" s="357"/>
      <c r="N250" s="357"/>
      <c r="O250" s="159"/>
      <c r="P250" s="159"/>
    </row>
    <row r="251" spans="1:16" ht="27.75" customHeight="1">
      <c r="A251" s="357"/>
      <c r="B251" s="357"/>
      <c r="C251" s="357"/>
      <c r="D251" s="305"/>
      <c r="E251" s="357"/>
      <c r="F251" s="357"/>
      <c r="G251" s="357"/>
      <c r="H251" s="357" t="s">
        <v>112</v>
      </c>
      <c r="I251" s="357"/>
      <c r="J251" s="357"/>
      <c r="K251" s="357" t="s">
        <v>113</v>
      </c>
      <c r="L251" s="357" t="s">
        <v>135</v>
      </c>
      <c r="M251" s="357" t="s">
        <v>114</v>
      </c>
      <c r="N251" s="357"/>
      <c r="O251" s="159"/>
      <c r="P251" s="159"/>
    </row>
    <row r="252" spans="1:16" ht="48" customHeight="1">
      <c r="A252" s="357"/>
      <c r="B252" s="357"/>
      <c r="C252" s="357"/>
      <c r="D252" s="305"/>
      <c r="E252" s="357"/>
      <c r="F252" s="357"/>
      <c r="G252" s="357"/>
      <c r="H252" s="357" t="s">
        <v>96</v>
      </c>
      <c r="I252" s="357" t="s">
        <v>351</v>
      </c>
      <c r="J252" s="357" t="s">
        <v>352</v>
      </c>
      <c r="K252" s="357"/>
      <c r="L252" s="357"/>
      <c r="M252" s="357"/>
      <c r="N252" s="357"/>
      <c r="O252" s="159"/>
      <c r="P252" s="159"/>
    </row>
    <row r="253" spans="1:16" ht="49.5" customHeight="1">
      <c r="A253" s="357"/>
      <c r="B253" s="357"/>
      <c r="C253" s="357"/>
      <c r="D253" s="305"/>
      <c r="E253" s="357"/>
      <c r="F253" s="357"/>
      <c r="G253" s="357"/>
      <c r="H253" s="357"/>
      <c r="I253" s="357"/>
      <c r="J253" s="357"/>
      <c r="K253" s="357"/>
      <c r="L253" s="357"/>
      <c r="M253" s="151" t="s">
        <v>96</v>
      </c>
      <c r="N253" s="151" t="s">
        <v>353</v>
      </c>
      <c r="O253" s="159"/>
      <c r="P253" s="159"/>
    </row>
    <row r="254" spans="1:16" ht="15.75" customHeight="1">
      <c r="A254" s="151">
        <v>1</v>
      </c>
      <c r="B254" s="151">
        <v>1</v>
      </c>
      <c r="C254" s="151">
        <v>2</v>
      </c>
      <c r="D254" s="73">
        <v>3</v>
      </c>
      <c r="E254" s="151">
        <v>4</v>
      </c>
      <c r="F254" s="151">
        <v>5</v>
      </c>
      <c r="G254" s="151">
        <v>6</v>
      </c>
      <c r="H254" s="151">
        <v>7</v>
      </c>
      <c r="I254" s="151">
        <v>8</v>
      </c>
      <c r="J254" s="151">
        <v>9</v>
      </c>
      <c r="K254" s="151">
        <v>10</v>
      </c>
      <c r="L254" s="151">
        <v>11</v>
      </c>
      <c r="M254" s="151">
        <v>12</v>
      </c>
      <c r="N254" s="151">
        <v>13</v>
      </c>
      <c r="O254" s="159"/>
      <c r="P254" s="159"/>
    </row>
    <row r="255" spans="1:16" ht="43.5" customHeight="1">
      <c r="A255" s="155"/>
      <c r="B255" s="155"/>
      <c r="C255" s="152" t="s">
        <v>58</v>
      </c>
      <c r="D255" s="153" t="s">
        <v>399</v>
      </c>
      <c r="E255" s="151" t="s">
        <v>16</v>
      </c>
      <c r="F255" s="151" t="s">
        <v>16</v>
      </c>
      <c r="G255" s="155">
        <f>G256+G257</f>
        <v>31697.5</v>
      </c>
      <c r="H255" s="155">
        <f>H256+H257</f>
        <v>31697.5</v>
      </c>
      <c r="I255" s="155">
        <f aca="true" t="shared" si="8" ref="I255:N255">I256+I257</f>
        <v>22697.5</v>
      </c>
      <c r="J255" s="155">
        <f t="shared" si="8"/>
        <v>9000</v>
      </c>
      <c r="K255" s="155">
        <f t="shared" si="8"/>
        <v>0</v>
      </c>
      <c r="L255" s="155">
        <f t="shared" si="8"/>
        <v>0</v>
      </c>
      <c r="M255" s="155">
        <f t="shared" si="8"/>
        <v>0</v>
      </c>
      <c r="N255" s="155">
        <f t="shared" si="8"/>
        <v>0</v>
      </c>
      <c r="O255" s="159"/>
      <c r="P255" s="159"/>
    </row>
    <row r="256" spans="1:16" ht="16.5" customHeight="1">
      <c r="A256" s="155">
        <v>244</v>
      </c>
      <c r="B256" s="155">
        <v>244</v>
      </c>
      <c r="C256" s="161" t="s">
        <v>124</v>
      </c>
      <c r="D256" s="162" t="s">
        <v>562</v>
      </c>
      <c r="E256" s="151">
        <v>1</v>
      </c>
      <c r="F256" s="151">
        <f>G256/E256</f>
        <v>22697.5</v>
      </c>
      <c r="G256" s="168">
        <f>H256</f>
        <v>22697.5</v>
      </c>
      <c r="H256" s="168">
        <f>I256</f>
        <v>22697.5</v>
      </c>
      <c r="I256" s="168">
        <v>22697.5</v>
      </c>
      <c r="J256" s="168"/>
      <c r="K256" s="168"/>
      <c r="L256" s="168"/>
      <c r="M256" s="168"/>
      <c r="N256" s="168"/>
      <c r="O256" s="159"/>
      <c r="P256" s="159"/>
    </row>
    <row r="257" spans="1:16" ht="16.5" customHeight="1">
      <c r="A257" s="155">
        <v>244</v>
      </c>
      <c r="B257" s="155">
        <v>244</v>
      </c>
      <c r="C257" s="161" t="s">
        <v>125</v>
      </c>
      <c r="D257" s="162" t="s">
        <v>423</v>
      </c>
      <c r="E257" s="151">
        <v>1</v>
      </c>
      <c r="F257" s="151">
        <f>G257/E257</f>
        <v>9000</v>
      </c>
      <c r="G257" s="168">
        <f>H257</f>
        <v>9000</v>
      </c>
      <c r="H257" s="168">
        <f>J257</f>
        <v>9000</v>
      </c>
      <c r="I257" s="168"/>
      <c r="J257" s="168">
        <v>9000</v>
      </c>
      <c r="K257" s="168"/>
      <c r="L257" s="168"/>
      <c r="M257" s="168"/>
      <c r="N257" s="168"/>
      <c r="O257" s="159"/>
      <c r="P257" s="159"/>
    </row>
    <row r="258" spans="1:16" ht="29.25" customHeight="1">
      <c r="A258" s="155"/>
      <c r="B258" s="155"/>
      <c r="C258" s="152" t="s">
        <v>262</v>
      </c>
      <c r="D258" s="153" t="s">
        <v>400</v>
      </c>
      <c r="E258" s="151" t="s">
        <v>16</v>
      </c>
      <c r="F258" s="151" t="s">
        <v>16</v>
      </c>
      <c r="G258" s="168">
        <f>H258</f>
        <v>0</v>
      </c>
      <c r="H258" s="168">
        <f aca="true" t="shared" si="9" ref="H258:N258">H259</f>
        <v>0</v>
      </c>
      <c r="I258" s="168">
        <f t="shared" si="9"/>
        <v>0</v>
      </c>
      <c r="J258" s="168">
        <f t="shared" si="9"/>
        <v>0</v>
      </c>
      <c r="K258" s="168">
        <f t="shared" si="9"/>
        <v>0</v>
      </c>
      <c r="L258" s="168">
        <f t="shared" si="9"/>
        <v>0</v>
      </c>
      <c r="M258" s="168">
        <f t="shared" si="9"/>
        <v>0</v>
      </c>
      <c r="N258" s="168">
        <f t="shared" si="9"/>
        <v>0</v>
      </c>
      <c r="O258" s="159"/>
      <c r="P258" s="159"/>
    </row>
    <row r="259" spans="1:16" ht="15" customHeight="1">
      <c r="A259" s="155">
        <v>244</v>
      </c>
      <c r="B259" s="155">
        <v>244</v>
      </c>
      <c r="C259" s="161" t="s">
        <v>136</v>
      </c>
      <c r="D259" s="162" t="s">
        <v>291</v>
      </c>
      <c r="E259" s="151">
        <v>1</v>
      </c>
      <c r="F259" s="151">
        <f>G259/E259</f>
        <v>0</v>
      </c>
      <c r="G259" s="168">
        <v>0</v>
      </c>
      <c r="H259" s="168">
        <f>G259</f>
        <v>0</v>
      </c>
      <c r="I259" s="168">
        <f>H259</f>
        <v>0</v>
      </c>
      <c r="J259" s="168"/>
      <c r="K259" s="168"/>
      <c r="L259" s="168"/>
      <c r="M259" s="168"/>
      <c r="N259" s="168"/>
      <c r="O259" s="159"/>
      <c r="P259" s="159"/>
    </row>
    <row r="260" spans="1:16" ht="15" customHeight="1">
      <c r="A260" s="155"/>
      <c r="B260" s="155"/>
      <c r="C260" s="161"/>
      <c r="D260" s="162"/>
      <c r="E260" s="155"/>
      <c r="F260" s="155"/>
      <c r="G260" s="168"/>
      <c r="H260" s="168"/>
      <c r="I260" s="168"/>
      <c r="J260" s="168"/>
      <c r="K260" s="168"/>
      <c r="L260" s="168"/>
      <c r="M260" s="168"/>
      <c r="N260" s="168"/>
      <c r="O260" s="159"/>
      <c r="P260" s="159"/>
    </row>
    <row r="261" spans="1:16" ht="30" customHeight="1">
      <c r="A261" s="155"/>
      <c r="B261" s="155"/>
      <c r="C261" s="152" t="s">
        <v>354</v>
      </c>
      <c r="D261" s="153" t="s">
        <v>401</v>
      </c>
      <c r="E261" s="151" t="s">
        <v>16</v>
      </c>
      <c r="F261" s="151" t="s">
        <v>16</v>
      </c>
      <c r="G261" s="168">
        <f>G262+G263</f>
        <v>260700</v>
      </c>
      <c r="H261" s="168">
        <f>H262+H263</f>
        <v>260700</v>
      </c>
      <c r="I261" s="168">
        <f>I262+I263</f>
        <v>211500</v>
      </c>
      <c r="J261" s="168">
        <f>J262</f>
        <v>49200</v>
      </c>
      <c r="K261" s="168">
        <f>K262</f>
        <v>0</v>
      </c>
      <c r="L261" s="168">
        <f>L262</f>
        <v>0</v>
      </c>
      <c r="M261" s="168">
        <f>M262</f>
        <v>0</v>
      </c>
      <c r="N261" s="168">
        <f>N262</f>
        <v>0</v>
      </c>
      <c r="O261" s="159"/>
      <c r="P261" s="159"/>
    </row>
    <row r="262" spans="1:16" ht="15.75" customHeight="1">
      <c r="A262" s="155">
        <v>244</v>
      </c>
      <c r="B262" s="155">
        <v>244</v>
      </c>
      <c r="C262" s="161" t="s">
        <v>142</v>
      </c>
      <c r="D262" s="162" t="s">
        <v>422</v>
      </c>
      <c r="E262" s="151">
        <v>2</v>
      </c>
      <c r="F262" s="151">
        <f>G262/E262</f>
        <v>130350</v>
      </c>
      <c r="G262" s="168">
        <f>H262</f>
        <v>260700</v>
      </c>
      <c r="H262" s="168">
        <f>I262+J262</f>
        <v>260700</v>
      </c>
      <c r="I262" s="168">
        <f>185500+136000-110000</f>
        <v>211500</v>
      </c>
      <c r="J262" s="168">
        <f>49200</f>
        <v>49200</v>
      </c>
      <c r="K262" s="168"/>
      <c r="L262" s="168"/>
      <c r="M262" s="168"/>
      <c r="N262" s="168"/>
      <c r="O262" s="159"/>
      <c r="P262" s="159"/>
    </row>
    <row r="263" spans="1:16" ht="15.75" customHeight="1">
      <c r="A263" s="155"/>
      <c r="B263" s="155"/>
      <c r="C263" s="161" t="s">
        <v>449</v>
      </c>
      <c r="D263" s="162" t="s">
        <v>469</v>
      </c>
      <c r="E263" s="151">
        <v>1</v>
      </c>
      <c r="F263" s="151"/>
      <c r="G263" s="168">
        <f>H263</f>
        <v>0</v>
      </c>
      <c r="H263" s="168">
        <f>J263</f>
        <v>0</v>
      </c>
      <c r="I263" s="168"/>
      <c r="J263" s="168"/>
      <c r="K263" s="168"/>
      <c r="L263" s="168"/>
      <c r="M263" s="168"/>
      <c r="N263" s="168"/>
      <c r="O263" s="159"/>
      <c r="P263" s="159"/>
    </row>
    <row r="264" spans="1:16" ht="33.75" customHeight="1">
      <c r="A264" s="155"/>
      <c r="B264" s="155"/>
      <c r="C264" s="152" t="s">
        <v>355</v>
      </c>
      <c r="D264" s="153" t="s">
        <v>402</v>
      </c>
      <c r="E264" s="151" t="s">
        <v>16</v>
      </c>
      <c r="F264" s="151" t="s">
        <v>16</v>
      </c>
      <c r="G264" s="168">
        <f>G266+G267+G268+G269+G270+G275+G272+G271+G274+G273</f>
        <v>2357851.41</v>
      </c>
      <c r="H264" s="168">
        <f>H266+H267+H268+H269+H270+H275</f>
        <v>140427.84</v>
      </c>
      <c r="I264" s="168">
        <f>I266+I267+I268+I269+I270+I275</f>
        <v>35800</v>
      </c>
      <c r="J264" s="168">
        <f>J266+J267+J268+J269+J270+J275</f>
        <v>104627.84</v>
      </c>
      <c r="K264" s="168">
        <f>K266+K267+K268+K269+K270+K275+K272+K271</f>
        <v>2139280</v>
      </c>
      <c r="L264" s="168">
        <f>L266+L267+L268+L269</f>
        <v>0</v>
      </c>
      <c r="M264" s="168">
        <f>SUM(M266:M275)</f>
        <v>78143.57</v>
      </c>
      <c r="N264" s="168">
        <f>N266+N267+N268+N269</f>
        <v>0</v>
      </c>
      <c r="O264" s="159"/>
      <c r="P264" s="159"/>
    </row>
    <row r="265" spans="1:16" ht="18.75">
      <c r="A265" s="155"/>
      <c r="B265" s="155"/>
      <c r="C265" s="161" t="s">
        <v>187</v>
      </c>
      <c r="D265" s="162"/>
      <c r="E265" s="151" t="s">
        <v>16</v>
      </c>
      <c r="F265" s="151" t="s">
        <v>16</v>
      </c>
      <c r="G265" s="168"/>
      <c r="H265" s="168"/>
      <c r="I265" s="168"/>
      <c r="J265" s="168"/>
      <c r="K265" s="168"/>
      <c r="L265" s="168"/>
      <c r="M265" s="168"/>
      <c r="N265" s="168"/>
      <c r="O265" s="159"/>
      <c r="P265" s="159"/>
    </row>
    <row r="266" spans="1:16" ht="18.75">
      <c r="A266" s="155">
        <v>244</v>
      </c>
      <c r="B266" s="155">
        <v>244</v>
      </c>
      <c r="C266" s="173" t="s">
        <v>396</v>
      </c>
      <c r="D266" s="35" t="s">
        <v>418</v>
      </c>
      <c r="E266" s="155">
        <v>1</v>
      </c>
      <c r="F266" s="155">
        <f aca="true" t="shared" si="10" ref="F266:F275">G266/E266</f>
        <v>1818720</v>
      </c>
      <c r="G266" s="168">
        <f>K266</f>
        <v>1818720</v>
      </c>
      <c r="H266" s="168"/>
      <c r="I266" s="168"/>
      <c r="J266" s="168"/>
      <c r="K266" s="168">
        <f>905040+667440+246240</f>
        <v>1818720</v>
      </c>
      <c r="L266" s="168"/>
      <c r="M266" s="168"/>
      <c r="N266" s="168"/>
      <c r="O266" s="159"/>
      <c r="P266" s="159"/>
    </row>
    <row r="267" spans="1:16" ht="47.25">
      <c r="A267" s="155">
        <v>244</v>
      </c>
      <c r="B267" s="155">
        <v>244</v>
      </c>
      <c r="C267" s="173" t="s">
        <v>419</v>
      </c>
      <c r="D267" s="35" t="s">
        <v>420</v>
      </c>
      <c r="E267" s="155">
        <v>1</v>
      </c>
      <c r="F267" s="155">
        <f t="shared" si="10"/>
        <v>20000</v>
      </c>
      <c r="G267" s="168">
        <f>H267</f>
        <v>20000</v>
      </c>
      <c r="H267" s="168">
        <f aca="true" t="shared" si="11" ref="H267:H275">J267+I267</f>
        <v>20000</v>
      </c>
      <c r="I267" s="168"/>
      <c r="J267" s="168">
        <v>20000</v>
      </c>
      <c r="K267" s="168"/>
      <c r="L267" s="168"/>
      <c r="M267" s="168"/>
      <c r="N267" s="168"/>
      <c r="O267" s="159"/>
      <c r="P267" s="159"/>
    </row>
    <row r="268" spans="1:16" ht="31.5">
      <c r="A268" s="155">
        <v>244</v>
      </c>
      <c r="B268" s="155">
        <v>244</v>
      </c>
      <c r="C268" s="173" t="s">
        <v>421</v>
      </c>
      <c r="D268" s="35" t="s">
        <v>424</v>
      </c>
      <c r="E268" s="155">
        <v>1</v>
      </c>
      <c r="F268" s="155">
        <f t="shared" si="10"/>
        <v>38390.72</v>
      </c>
      <c r="G268" s="168">
        <f>H268+M268+K268</f>
        <v>38390.72</v>
      </c>
      <c r="H268" s="168">
        <f t="shared" si="11"/>
        <v>33490.72</v>
      </c>
      <c r="I268" s="168">
        <f>10000+15800</f>
        <v>25800</v>
      </c>
      <c r="J268" s="168">
        <f>17500-9605.92-40-132.16-31.2</f>
        <v>7690.72</v>
      </c>
      <c r="K268" s="168">
        <v>1900</v>
      </c>
      <c r="L268" s="168"/>
      <c r="M268" s="168">
        <v>3000</v>
      </c>
      <c r="N268" s="168"/>
      <c r="O268" s="159"/>
      <c r="P268" s="159"/>
    </row>
    <row r="269" spans="1:16" ht="31.5">
      <c r="A269" s="155">
        <v>244</v>
      </c>
      <c r="B269" s="155">
        <v>244</v>
      </c>
      <c r="C269" s="173" t="s">
        <v>425</v>
      </c>
      <c r="D269" s="35" t="s">
        <v>557</v>
      </c>
      <c r="E269" s="155">
        <v>1</v>
      </c>
      <c r="F269" s="155">
        <f t="shared" si="10"/>
        <v>76546.09</v>
      </c>
      <c r="G269" s="168">
        <f>H269+M269</f>
        <v>76546.09</v>
      </c>
      <c r="H269" s="168">
        <f t="shared" si="11"/>
        <v>49605.92</v>
      </c>
      <c r="I269" s="168"/>
      <c r="J269" s="168">
        <v>49605.92</v>
      </c>
      <c r="K269" s="168"/>
      <c r="L269" s="168"/>
      <c r="M269" s="168">
        <v>26940.17</v>
      </c>
      <c r="N269" s="168"/>
      <c r="O269" s="159"/>
      <c r="P269" s="159"/>
    </row>
    <row r="270" spans="1:16" ht="18.75">
      <c r="A270" s="155"/>
      <c r="B270" s="155">
        <v>244</v>
      </c>
      <c r="C270" s="173" t="s">
        <v>458</v>
      </c>
      <c r="D270" s="35" t="s">
        <v>524</v>
      </c>
      <c r="E270" s="155">
        <v>1</v>
      </c>
      <c r="F270" s="155">
        <f t="shared" si="10"/>
        <v>10000</v>
      </c>
      <c r="G270" s="168">
        <f>H270</f>
        <v>10000</v>
      </c>
      <c r="H270" s="168">
        <f t="shared" si="11"/>
        <v>10000</v>
      </c>
      <c r="I270" s="168">
        <v>10000</v>
      </c>
      <c r="J270" s="168"/>
      <c r="K270" s="168"/>
      <c r="L270" s="168"/>
      <c r="M270" s="168"/>
      <c r="N270" s="168"/>
      <c r="O270" s="159"/>
      <c r="P270" s="159"/>
    </row>
    <row r="271" spans="1:16" ht="39.75" customHeight="1">
      <c r="A271" s="155"/>
      <c r="B271" s="155">
        <v>244</v>
      </c>
      <c r="C271" s="173" t="s">
        <v>461</v>
      </c>
      <c r="D271" s="35" t="s">
        <v>565</v>
      </c>
      <c r="E271" s="155">
        <v>1</v>
      </c>
      <c r="F271" s="155">
        <f>G271/E271</f>
        <v>300000</v>
      </c>
      <c r="G271" s="168">
        <f>K271</f>
        <v>300000</v>
      </c>
      <c r="H271" s="168">
        <f>J271+I271</f>
        <v>0</v>
      </c>
      <c r="I271" s="168"/>
      <c r="J271" s="168"/>
      <c r="K271" s="168">
        <v>300000</v>
      </c>
      <c r="L271" s="168"/>
      <c r="M271" s="168"/>
      <c r="N271" s="168"/>
      <c r="O271" s="159"/>
      <c r="P271" s="159"/>
    </row>
    <row r="272" spans="1:16" ht="39.75" customHeight="1">
      <c r="A272" s="155"/>
      <c r="B272" s="155">
        <v>244</v>
      </c>
      <c r="C272" s="173" t="s">
        <v>461</v>
      </c>
      <c r="D272" s="35" t="s">
        <v>561</v>
      </c>
      <c r="E272" s="155">
        <v>1</v>
      </c>
      <c r="F272" s="155">
        <f>G272/E272</f>
        <v>36563.4</v>
      </c>
      <c r="G272" s="168">
        <f>K272+M272</f>
        <v>36563.4</v>
      </c>
      <c r="H272" s="168">
        <f t="shared" si="11"/>
        <v>0</v>
      </c>
      <c r="I272" s="168"/>
      <c r="J272" s="168"/>
      <c r="K272" s="168">
        <v>18660</v>
      </c>
      <c r="L272" s="168"/>
      <c r="M272" s="168">
        <v>17903.4</v>
      </c>
      <c r="N272" s="168"/>
      <c r="O272" s="159"/>
      <c r="P272" s="159"/>
    </row>
    <row r="273" spans="1:16" ht="39.75" customHeight="1">
      <c r="A273" s="155"/>
      <c r="B273" s="155">
        <v>244</v>
      </c>
      <c r="C273" s="173" t="s">
        <v>461</v>
      </c>
      <c r="D273" s="35" t="s">
        <v>586</v>
      </c>
      <c r="E273" s="155">
        <v>1</v>
      </c>
      <c r="F273" s="155">
        <f>G273/E273</f>
        <v>9500</v>
      </c>
      <c r="G273" s="168">
        <f>K273+M273</f>
        <v>9500</v>
      </c>
      <c r="H273" s="168">
        <f>J273+I273</f>
        <v>0</v>
      </c>
      <c r="I273" s="168"/>
      <c r="J273" s="168"/>
      <c r="K273" s="168"/>
      <c r="L273" s="168"/>
      <c r="M273" s="168">
        <f>8000+1500</f>
        <v>9500</v>
      </c>
      <c r="N273" s="168"/>
      <c r="O273" s="159"/>
      <c r="P273" s="159"/>
    </row>
    <row r="274" spans="1:16" ht="39.75" customHeight="1">
      <c r="A274" s="155"/>
      <c r="B274" s="155">
        <v>244</v>
      </c>
      <c r="C274" s="173" t="s">
        <v>461</v>
      </c>
      <c r="D274" s="35" t="s">
        <v>584</v>
      </c>
      <c r="E274" s="155">
        <v>1</v>
      </c>
      <c r="F274" s="155">
        <f>G274/E274</f>
        <v>20800</v>
      </c>
      <c r="G274" s="168">
        <f>K274+M274</f>
        <v>20800</v>
      </c>
      <c r="H274" s="168">
        <f t="shared" si="11"/>
        <v>0</v>
      </c>
      <c r="I274" s="168"/>
      <c r="J274" s="168"/>
      <c r="K274" s="168"/>
      <c r="L274" s="168"/>
      <c r="M274" s="168">
        <v>20800</v>
      </c>
      <c r="N274" s="168"/>
      <c r="O274" s="159"/>
      <c r="P274" s="159"/>
    </row>
    <row r="275" spans="1:16" ht="39.75" customHeight="1">
      <c r="A275" s="155"/>
      <c r="B275" s="155">
        <v>244</v>
      </c>
      <c r="C275" s="173" t="s">
        <v>461</v>
      </c>
      <c r="D275" s="35" t="s">
        <v>525</v>
      </c>
      <c r="E275" s="155">
        <v>1</v>
      </c>
      <c r="F275" s="155">
        <f t="shared" si="10"/>
        <v>27331.2</v>
      </c>
      <c r="G275" s="168">
        <f>H275</f>
        <v>27331.2</v>
      </c>
      <c r="H275" s="168">
        <f t="shared" si="11"/>
        <v>27331.2</v>
      </c>
      <c r="I275" s="168"/>
      <c r="J275" s="168">
        <f>27300+31.2</f>
        <v>27331.2</v>
      </c>
      <c r="K275" s="168"/>
      <c r="L275" s="168"/>
      <c r="M275" s="168"/>
      <c r="N275" s="168"/>
      <c r="O275" s="159"/>
      <c r="P275" s="159"/>
    </row>
    <row r="276" spans="1:16" ht="18.75">
      <c r="A276" s="151" t="s">
        <v>203</v>
      </c>
      <c r="B276" s="151" t="s">
        <v>203</v>
      </c>
      <c r="C276" s="151" t="s">
        <v>203</v>
      </c>
      <c r="D276" s="153" t="s">
        <v>29</v>
      </c>
      <c r="E276" s="151" t="s">
        <v>16</v>
      </c>
      <c r="F276" s="151" t="s">
        <v>16</v>
      </c>
      <c r="G276" s="155">
        <f>G255+G258+G261+G264</f>
        <v>2650248.91</v>
      </c>
      <c r="H276" s="155">
        <f aca="true" t="shared" si="12" ref="H276:N276">H255+H258+H261+H264</f>
        <v>432825.33999999997</v>
      </c>
      <c r="I276" s="155">
        <f>I255+I258+I261+I264</f>
        <v>269997.5</v>
      </c>
      <c r="J276" s="155">
        <f>J275+J268+J267+J257+J264</f>
        <v>168649.76</v>
      </c>
      <c r="K276" s="155">
        <f>K255+K258+K261+K264</f>
        <v>2139280</v>
      </c>
      <c r="L276" s="155">
        <f t="shared" si="12"/>
        <v>0</v>
      </c>
      <c r="M276" s="155">
        <f t="shared" si="12"/>
        <v>78143.57</v>
      </c>
      <c r="N276" s="155">
        <f t="shared" si="12"/>
        <v>0</v>
      </c>
      <c r="O276" s="159"/>
      <c r="P276" s="159"/>
    </row>
    <row r="277" spans="1:16" ht="18.75">
      <c r="A277" s="158">
        <f>'Раздел 1'!D78-G276</f>
        <v>0</v>
      </c>
      <c r="B277" s="158"/>
      <c r="C277" s="159"/>
      <c r="E277" s="159"/>
      <c r="F277" s="159"/>
      <c r="G277" s="182"/>
      <c r="H277" s="159"/>
      <c r="I277" s="169">
        <f>'Раздел 1'!T78</f>
        <v>269997.5</v>
      </c>
      <c r="J277" s="182"/>
      <c r="K277" s="169">
        <f>'Раздел 1'!AB78</f>
        <v>2139280</v>
      </c>
      <c r="L277" s="222"/>
      <c r="M277" s="169">
        <f>'Раздел 1'!AJ78</f>
        <v>78143.57</v>
      </c>
      <c r="N277" s="159"/>
      <c r="O277" s="159"/>
      <c r="P277" s="159"/>
    </row>
    <row r="278" spans="2:16" ht="18.75">
      <c r="B278" s="361" t="s">
        <v>192</v>
      </c>
      <c r="C278" s="361"/>
      <c r="D278" s="361"/>
      <c r="E278" s="361"/>
      <c r="F278" s="361"/>
      <c r="G278" s="361"/>
      <c r="H278" s="361"/>
      <c r="I278" s="361"/>
      <c r="J278" s="361"/>
      <c r="K278" s="361"/>
      <c r="L278" s="361"/>
      <c r="M278" s="361"/>
      <c r="N278" s="361"/>
      <c r="O278" s="159"/>
      <c r="P278" s="159"/>
    </row>
    <row r="279" spans="1:16" ht="18.75" hidden="1">
      <c r="A279" s="160"/>
      <c r="B279" s="160"/>
      <c r="C279" s="159"/>
      <c r="E279" s="159"/>
      <c r="F279" s="159"/>
      <c r="G279" s="159"/>
      <c r="H279" s="159"/>
      <c r="I279" s="159"/>
      <c r="J279" s="159"/>
      <c r="K279" s="159"/>
      <c r="L279" s="159"/>
      <c r="M279" s="159"/>
      <c r="N279" s="159"/>
      <c r="O279" s="159"/>
      <c r="P279" s="159"/>
    </row>
    <row r="280" spans="1:16" ht="19.5" customHeight="1">
      <c r="A280" s="357" t="s">
        <v>107</v>
      </c>
      <c r="B280" s="357" t="s">
        <v>107</v>
      </c>
      <c r="C280" s="357" t="s">
        <v>31</v>
      </c>
      <c r="D280" s="305" t="s">
        <v>30</v>
      </c>
      <c r="E280" s="357" t="s">
        <v>193</v>
      </c>
      <c r="F280" s="357" t="s">
        <v>194</v>
      </c>
      <c r="G280" s="151" t="s">
        <v>13</v>
      </c>
      <c r="H280" s="357" t="s">
        <v>111</v>
      </c>
      <c r="I280" s="357"/>
      <c r="J280" s="357"/>
      <c r="K280" s="357"/>
      <c r="L280" s="357"/>
      <c r="M280" s="357"/>
      <c r="N280" s="357"/>
      <c r="O280" s="159"/>
      <c r="P280" s="159"/>
    </row>
    <row r="281" spans="1:16" ht="87" customHeight="1">
      <c r="A281" s="357"/>
      <c r="B281" s="357"/>
      <c r="C281" s="357"/>
      <c r="D281" s="305"/>
      <c r="E281" s="357"/>
      <c r="F281" s="357"/>
      <c r="G281" s="358" t="s">
        <v>502</v>
      </c>
      <c r="H281" s="357" t="s">
        <v>112</v>
      </c>
      <c r="I281" s="357"/>
      <c r="J281" s="357"/>
      <c r="K281" s="357" t="s">
        <v>113</v>
      </c>
      <c r="L281" s="357" t="s">
        <v>135</v>
      </c>
      <c r="M281" s="357" t="s">
        <v>114</v>
      </c>
      <c r="N281" s="357"/>
      <c r="O281" s="159"/>
      <c r="P281" s="159"/>
    </row>
    <row r="282" spans="1:16" ht="18.75">
      <c r="A282" s="357"/>
      <c r="B282" s="357"/>
      <c r="C282" s="357"/>
      <c r="D282" s="305"/>
      <c r="E282" s="357"/>
      <c r="F282" s="357"/>
      <c r="G282" s="359"/>
      <c r="H282" s="357" t="s">
        <v>96</v>
      </c>
      <c r="I282" s="357" t="s">
        <v>351</v>
      </c>
      <c r="J282" s="357" t="s">
        <v>352</v>
      </c>
      <c r="K282" s="357"/>
      <c r="L282" s="357"/>
      <c r="M282" s="357"/>
      <c r="N282" s="357"/>
      <c r="O282" s="159"/>
      <c r="P282" s="159"/>
    </row>
    <row r="283" spans="1:16" ht="18.75" customHeight="1">
      <c r="A283" s="357"/>
      <c r="B283" s="357"/>
      <c r="C283" s="357"/>
      <c r="D283" s="305"/>
      <c r="E283" s="357"/>
      <c r="F283" s="357"/>
      <c r="G283" s="362"/>
      <c r="H283" s="357"/>
      <c r="I283" s="357"/>
      <c r="J283" s="357"/>
      <c r="K283" s="357"/>
      <c r="L283" s="357"/>
      <c r="M283" s="151" t="s">
        <v>96</v>
      </c>
      <c r="N283" s="151" t="s">
        <v>353</v>
      </c>
      <c r="O283" s="159"/>
      <c r="P283" s="159"/>
    </row>
    <row r="284" spans="1:16" ht="15.75" customHeight="1">
      <c r="A284" s="151">
        <v>1</v>
      </c>
      <c r="B284" s="151">
        <v>1</v>
      </c>
      <c r="C284" s="151">
        <v>2</v>
      </c>
      <c r="D284" s="73">
        <v>3</v>
      </c>
      <c r="E284" s="151">
        <v>4</v>
      </c>
      <c r="F284" s="151">
        <v>5</v>
      </c>
      <c r="G284" s="151">
        <v>6</v>
      </c>
      <c r="H284" s="151">
        <v>7</v>
      </c>
      <c r="I284" s="151">
        <v>8</v>
      </c>
      <c r="J284" s="151">
        <v>9</v>
      </c>
      <c r="K284" s="151">
        <v>10</v>
      </c>
      <c r="L284" s="151">
        <v>11</v>
      </c>
      <c r="M284" s="151">
        <v>12</v>
      </c>
      <c r="N284" s="151">
        <v>13</v>
      </c>
      <c r="O284" s="159"/>
      <c r="P284" s="159"/>
    </row>
    <row r="285" spans="1:16" ht="40.5" customHeight="1">
      <c r="A285" s="155"/>
      <c r="B285" s="155"/>
      <c r="C285" s="152" t="s">
        <v>58</v>
      </c>
      <c r="D285" s="153" t="s">
        <v>403</v>
      </c>
      <c r="E285" s="151" t="s">
        <v>16</v>
      </c>
      <c r="F285" s="151" t="s">
        <v>16</v>
      </c>
      <c r="G285" s="155">
        <f>G287+G288+G289+G290+G291+G292</f>
        <v>1525674</v>
      </c>
      <c r="H285" s="155">
        <f aca="true" t="shared" si="13" ref="H285:M285">H287+H288+H289+H290+H291+H292</f>
        <v>1191400</v>
      </c>
      <c r="I285" s="155">
        <f t="shared" si="13"/>
        <v>1191400</v>
      </c>
      <c r="J285" s="155">
        <f t="shared" si="13"/>
        <v>0</v>
      </c>
      <c r="K285" s="155">
        <f t="shared" si="13"/>
        <v>235700</v>
      </c>
      <c r="L285" s="155">
        <f t="shared" si="13"/>
        <v>0</v>
      </c>
      <c r="M285" s="155">
        <f t="shared" si="13"/>
        <v>98574</v>
      </c>
      <c r="N285" s="155"/>
      <c r="O285" s="159"/>
      <c r="P285" s="159"/>
    </row>
    <row r="286" spans="1:16" ht="18.75">
      <c r="A286" s="155"/>
      <c r="B286" s="155"/>
      <c r="C286" s="161" t="s">
        <v>124</v>
      </c>
      <c r="D286" s="162" t="s">
        <v>404</v>
      </c>
      <c r="E286" s="151" t="s">
        <v>16</v>
      </c>
      <c r="F286" s="151" t="s">
        <v>16</v>
      </c>
      <c r="G286" s="151"/>
      <c r="H286" s="151"/>
      <c r="I286" s="151"/>
      <c r="J286" s="151"/>
      <c r="K286" s="151"/>
      <c r="L286" s="151"/>
      <c r="M286" s="151"/>
      <c r="N286" s="151"/>
      <c r="O286" s="159"/>
      <c r="P286" s="159"/>
    </row>
    <row r="287" spans="1:16" ht="31.5">
      <c r="A287" s="155">
        <v>244</v>
      </c>
      <c r="B287" s="155">
        <v>244</v>
      </c>
      <c r="C287" s="173" t="s">
        <v>146</v>
      </c>
      <c r="D287" s="153" t="s">
        <v>293</v>
      </c>
      <c r="E287" s="155">
        <v>4</v>
      </c>
      <c r="F287" s="155">
        <f>G287/E287</f>
        <v>15500</v>
      </c>
      <c r="G287" s="155">
        <f>H287+M287</f>
        <v>62000</v>
      </c>
      <c r="H287" s="155">
        <f aca="true" t="shared" si="14" ref="H287:H292">I287</f>
        <v>40000</v>
      </c>
      <c r="I287" s="155">
        <v>40000</v>
      </c>
      <c r="J287" s="155"/>
      <c r="K287" s="155"/>
      <c r="L287" s="155"/>
      <c r="M287" s="155">
        <v>22000</v>
      </c>
      <c r="N287" s="155"/>
      <c r="O287" s="159"/>
      <c r="P287" s="159"/>
    </row>
    <row r="288" spans="1:16" ht="47.25">
      <c r="A288" s="155">
        <v>244</v>
      </c>
      <c r="B288" s="155">
        <v>244</v>
      </c>
      <c r="C288" s="173" t="s">
        <v>426</v>
      </c>
      <c r="D288" s="153" t="s">
        <v>427</v>
      </c>
      <c r="E288" s="155">
        <v>25</v>
      </c>
      <c r="F288" s="155">
        <f>G288/E288</f>
        <v>6800</v>
      </c>
      <c r="G288" s="155">
        <f>M288+H288</f>
        <v>170000</v>
      </c>
      <c r="H288" s="155">
        <f t="shared" si="14"/>
        <v>110000</v>
      </c>
      <c r="I288" s="168">
        <v>110000</v>
      </c>
      <c r="J288" s="151"/>
      <c r="K288" s="151"/>
      <c r="L288" s="151"/>
      <c r="M288" s="151">
        <f>76600-46600+30000</f>
        <v>60000</v>
      </c>
      <c r="N288" s="151"/>
      <c r="O288" s="159"/>
      <c r="P288" s="159"/>
    </row>
    <row r="289" spans="1:16" ht="34.5" customHeight="1">
      <c r="A289" s="155"/>
      <c r="B289" s="155">
        <v>244</v>
      </c>
      <c r="C289" s="173" t="s">
        <v>428</v>
      </c>
      <c r="D289" s="35" t="s">
        <v>527</v>
      </c>
      <c r="E289" s="155">
        <v>1</v>
      </c>
      <c r="F289" s="155">
        <v>63000</v>
      </c>
      <c r="G289" s="168">
        <f>H289+K289+M289</f>
        <v>36574</v>
      </c>
      <c r="H289" s="155">
        <f t="shared" si="14"/>
        <v>20000</v>
      </c>
      <c r="I289" s="168">
        <v>20000</v>
      </c>
      <c r="J289" s="168"/>
      <c r="K289" s="168"/>
      <c r="L289" s="168"/>
      <c r="M289" s="168">
        <v>16574</v>
      </c>
      <c r="N289" s="168"/>
      <c r="O289" s="159"/>
      <c r="P289" s="159"/>
    </row>
    <row r="290" spans="1:16" ht="36" customHeight="1">
      <c r="A290" s="155">
        <v>244</v>
      </c>
      <c r="B290" s="155">
        <v>244</v>
      </c>
      <c r="C290" s="173" t="s">
        <v>430</v>
      </c>
      <c r="D290" s="153" t="s">
        <v>526</v>
      </c>
      <c r="E290" s="155">
        <v>4</v>
      </c>
      <c r="F290" s="155">
        <f>G290/E290</f>
        <v>255350</v>
      </c>
      <c r="G290" s="155">
        <f>H290</f>
        <v>1021400</v>
      </c>
      <c r="H290" s="155">
        <f t="shared" si="14"/>
        <v>1021400</v>
      </c>
      <c r="I290" s="151">
        <f>119800+901600</f>
        <v>1021400</v>
      </c>
      <c r="J290" s="151"/>
      <c r="K290" s="168"/>
      <c r="L290" s="151"/>
      <c r="M290" s="151"/>
      <c r="N290" s="151"/>
      <c r="O290" s="159"/>
      <c r="P290" s="159"/>
    </row>
    <row r="291" spans="1:16" ht="18.75">
      <c r="A291" s="155">
        <v>244</v>
      </c>
      <c r="B291" s="155">
        <v>244</v>
      </c>
      <c r="C291" s="173" t="s">
        <v>453</v>
      </c>
      <c r="D291" s="65" t="s">
        <v>528</v>
      </c>
      <c r="E291" s="155">
        <v>1</v>
      </c>
      <c r="F291" s="155">
        <f>G291/E291</f>
        <v>150000</v>
      </c>
      <c r="G291" s="155">
        <f>H291+K291</f>
        <v>150000</v>
      </c>
      <c r="H291" s="155">
        <f t="shared" si="14"/>
        <v>0</v>
      </c>
      <c r="I291" s="151"/>
      <c r="J291" s="197"/>
      <c r="K291" s="168">
        <v>150000</v>
      </c>
      <c r="L291" s="151"/>
      <c r="M291" s="151"/>
      <c r="N291" s="151"/>
      <c r="O291" s="159"/>
      <c r="P291" s="159"/>
    </row>
    <row r="292" spans="1:16" ht="31.5">
      <c r="A292" s="155">
        <v>244</v>
      </c>
      <c r="B292" s="155">
        <v>244</v>
      </c>
      <c r="C292" s="173" t="s">
        <v>463</v>
      </c>
      <c r="D292" s="65" t="s">
        <v>546</v>
      </c>
      <c r="E292" s="155">
        <v>1</v>
      </c>
      <c r="F292" s="155">
        <f>G292/E292</f>
        <v>85700</v>
      </c>
      <c r="G292" s="155">
        <f>K292</f>
        <v>85700</v>
      </c>
      <c r="H292" s="155">
        <f t="shared" si="14"/>
        <v>0</v>
      </c>
      <c r="I292" s="151"/>
      <c r="J292" s="197"/>
      <c r="K292" s="168">
        <f>99736-14036</f>
        <v>85700</v>
      </c>
      <c r="L292" s="151"/>
      <c r="M292" s="151"/>
      <c r="N292" s="151"/>
      <c r="O292" s="159"/>
      <c r="P292" s="159"/>
    </row>
    <row r="293" spans="1:16" ht="18.75">
      <c r="A293" s="151" t="s">
        <v>203</v>
      </c>
      <c r="B293" s="151" t="s">
        <v>203</v>
      </c>
      <c r="C293" s="151" t="s">
        <v>203</v>
      </c>
      <c r="D293" s="153" t="s">
        <v>29</v>
      </c>
      <c r="E293" s="151" t="s">
        <v>16</v>
      </c>
      <c r="F293" s="151" t="s">
        <v>16</v>
      </c>
      <c r="G293" s="155">
        <f>G285</f>
        <v>1525674</v>
      </c>
      <c r="H293" s="155">
        <f aca="true" t="shared" si="15" ref="H293:M293">H285</f>
        <v>1191400</v>
      </c>
      <c r="I293" s="155">
        <f t="shared" si="15"/>
        <v>1191400</v>
      </c>
      <c r="J293" s="155">
        <f t="shared" si="15"/>
        <v>0</v>
      </c>
      <c r="K293" s="155">
        <f t="shared" si="15"/>
        <v>235700</v>
      </c>
      <c r="L293" s="155">
        <f t="shared" si="15"/>
        <v>0</v>
      </c>
      <c r="M293" s="155">
        <f t="shared" si="15"/>
        <v>98574</v>
      </c>
      <c r="N293" s="155"/>
      <c r="O293" s="159"/>
      <c r="P293" s="159"/>
    </row>
    <row r="294" spans="1:16" ht="18.75">
      <c r="A294" s="158">
        <f>'Раздел 1'!D80-G293</f>
        <v>0</v>
      </c>
      <c r="B294" s="158"/>
      <c r="C294" s="159"/>
      <c r="E294" s="159"/>
      <c r="F294" s="159"/>
      <c r="G294" s="163"/>
      <c r="H294" s="159"/>
      <c r="I294" s="169">
        <f>'Раздел 1'!T80</f>
        <v>1191400</v>
      </c>
      <c r="J294" s="169">
        <f>'Раздел 1'!L80</f>
        <v>0</v>
      </c>
      <c r="K294" s="169">
        <f>'Раздел 1'!AB80</f>
        <v>235700</v>
      </c>
      <c r="L294" s="203"/>
      <c r="M294" s="169">
        <f>'Раздел 1'!AJ80</f>
        <v>98574</v>
      </c>
      <c r="N294" s="159"/>
      <c r="O294" s="159"/>
      <c r="P294" s="159"/>
    </row>
    <row r="295" spans="2:16" ht="18.75">
      <c r="B295" s="361" t="s">
        <v>195</v>
      </c>
      <c r="C295" s="361"/>
      <c r="D295" s="361"/>
      <c r="E295" s="361"/>
      <c r="F295" s="361"/>
      <c r="G295" s="361"/>
      <c r="H295" s="361"/>
      <c r="I295" s="361"/>
      <c r="J295" s="361"/>
      <c r="K295" s="361"/>
      <c r="L295" s="361"/>
      <c r="M295" s="361"/>
      <c r="N295" s="361"/>
      <c r="O295" s="159"/>
      <c r="P295" s="159"/>
    </row>
    <row r="296" spans="1:16" ht="18.75" hidden="1">
      <c r="A296" s="160"/>
      <c r="B296" s="160"/>
      <c r="C296" s="159"/>
      <c r="E296" s="159"/>
      <c r="F296" s="159"/>
      <c r="G296" s="159"/>
      <c r="H296" s="159"/>
      <c r="I296" s="159"/>
      <c r="J296" s="159"/>
      <c r="K296" s="159"/>
      <c r="L296" s="159"/>
      <c r="M296" s="159"/>
      <c r="N296" s="159"/>
      <c r="O296" s="159"/>
      <c r="P296" s="159"/>
    </row>
    <row r="297" spans="1:16" ht="19.5" customHeight="1">
      <c r="A297" s="357" t="s">
        <v>107</v>
      </c>
      <c r="B297" s="357" t="s">
        <v>107</v>
      </c>
      <c r="C297" s="357" t="s">
        <v>31</v>
      </c>
      <c r="D297" s="305" t="s">
        <v>30</v>
      </c>
      <c r="E297" s="357" t="s">
        <v>172</v>
      </c>
      <c r="F297" s="357" t="s">
        <v>193</v>
      </c>
      <c r="G297" s="357" t="s">
        <v>196</v>
      </c>
      <c r="H297" s="151" t="s">
        <v>13</v>
      </c>
      <c r="I297" s="357" t="s">
        <v>111</v>
      </c>
      <c r="J297" s="357"/>
      <c r="K297" s="357"/>
      <c r="L297" s="357"/>
      <c r="M297" s="357"/>
      <c r="N297" s="357"/>
      <c r="O297" s="357"/>
      <c r="P297" s="159"/>
    </row>
    <row r="298" spans="1:16" ht="39.75" customHeight="1">
      <c r="A298" s="357"/>
      <c r="B298" s="357"/>
      <c r="C298" s="357"/>
      <c r="D298" s="305"/>
      <c r="E298" s="357"/>
      <c r="F298" s="357"/>
      <c r="G298" s="357"/>
      <c r="H298" s="358" t="s">
        <v>503</v>
      </c>
      <c r="I298" s="357" t="s">
        <v>112</v>
      </c>
      <c r="J298" s="357"/>
      <c r="K298" s="357"/>
      <c r="L298" s="357" t="s">
        <v>113</v>
      </c>
      <c r="M298" s="357" t="s">
        <v>135</v>
      </c>
      <c r="N298" s="357" t="s">
        <v>114</v>
      </c>
      <c r="O298" s="357"/>
      <c r="P298" s="159"/>
    </row>
    <row r="299" spans="1:16" ht="30.75" customHeight="1">
      <c r="A299" s="357"/>
      <c r="B299" s="357"/>
      <c r="C299" s="357"/>
      <c r="D299" s="305"/>
      <c r="E299" s="357"/>
      <c r="F299" s="357"/>
      <c r="G299" s="357"/>
      <c r="H299" s="359"/>
      <c r="I299" s="357" t="s">
        <v>96</v>
      </c>
      <c r="J299" s="357" t="s">
        <v>351</v>
      </c>
      <c r="K299" s="357" t="s">
        <v>352</v>
      </c>
      <c r="L299" s="357"/>
      <c r="M299" s="357"/>
      <c r="N299" s="357"/>
      <c r="O299" s="357"/>
      <c r="P299" s="159"/>
    </row>
    <row r="300" spans="1:16" ht="30" customHeight="1">
      <c r="A300" s="357"/>
      <c r="B300" s="357"/>
      <c r="C300" s="357"/>
      <c r="D300" s="305"/>
      <c r="E300" s="357"/>
      <c r="F300" s="357"/>
      <c r="G300" s="357"/>
      <c r="H300" s="359"/>
      <c r="I300" s="357"/>
      <c r="J300" s="357"/>
      <c r="K300" s="357"/>
      <c r="L300" s="357"/>
      <c r="M300" s="357"/>
      <c r="N300" s="151" t="s">
        <v>96</v>
      </c>
      <c r="O300" s="151" t="s">
        <v>353</v>
      </c>
      <c r="P300" s="159"/>
    </row>
    <row r="301" spans="1:16" ht="16.5" customHeight="1">
      <c r="A301" s="151">
        <v>1</v>
      </c>
      <c r="B301" s="151">
        <v>1</v>
      </c>
      <c r="C301" s="151">
        <v>2</v>
      </c>
      <c r="D301" s="73">
        <v>3</v>
      </c>
      <c r="E301" s="151">
        <v>4</v>
      </c>
      <c r="F301" s="151">
        <v>5</v>
      </c>
      <c r="G301" s="151">
        <v>6</v>
      </c>
      <c r="H301" s="151">
        <v>7</v>
      </c>
      <c r="I301" s="151">
        <v>8</v>
      </c>
      <c r="J301" s="151">
        <v>9</v>
      </c>
      <c r="K301" s="151">
        <v>10</v>
      </c>
      <c r="L301" s="151">
        <v>11</v>
      </c>
      <c r="M301" s="151">
        <v>12</v>
      </c>
      <c r="N301" s="151">
        <v>13</v>
      </c>
      <c r="O301" s="151">
        <v>14</v>
      </c>
      <c r="P301" s="159"/>
    </row>
    <row r="302" spans="1:16" ht="18.75">
      <c r="A302" s="155"/>
      <c r="B302" s="155"/>
      <c r="C302" s="152">
        <v>1</v>
      </c>
      <c r="D302" s="153" t="s">
        <v>197</v>
      </c>
      <c r="E302" s="151" t="s">
        <v>16</v>
      </c>
      <c r="F302" s="151" t="s">
        <v>16</v>
      </c>
      <c r="G302" s="151" t="s">
        <v>16</v>
      </c>
      <c r="H302" s="155">
        <f>H304+H305+H306+H307+H311+H312+H308+H309+H310</f>
        <v>4641447.23</v>
      </c>
      <c r="I302" s="155">
        <f>I304+I305+I306+I307+I311+I312</f>
        <v>1452100</v>
      </c>
      <c r="J302" s="155">
        <f>J304+J305+J306+J307+J311+J312</f>
        <v>88800</v>
      </c>
      <c r="K302" s="155">
        <f>K304+K305+K306+K307+K311+K312</f>
        <v>1363300</v>
      </c>
      <c r="L302" s="155">
        <f>L308</f>
        <v>1600</v>
      </c>
      <c r="M302" s="155">
        <f>M304+M305+M306+M307+M311+M312</f>
        <v>0</v>
      </c>
      <c r="N302" s="155">
        <f>N304+N305+N306+N307+N311+N312+N309</f>
        <v>3170839.23</v>
      </c>
      <c r="O302" s="155">
        <f>O306+O307+O311+O312</f>
        <v>0</v>
      </c>
      <c r="P302" s="159"/>
    </row>
    <row r="303" spans="1:16" ht="18.75">
      <c r="A303" s="155"/>
      <c r="B303" s="155"/>
      <c r="C303" s="161" t="s">
        <v>124</v>
      </c>
      <c r="D303" s="162" t="s">
        <v>405</v>
      </c>
      <c r="E303" s="151" t="s">
        <v>16</v>
      </c>
      <c r="F303" s="151" t="s">
        <v>16</v>
      </c>
      <c r="G303" s="151" t="s">
        <v>16</v>
      </c>
      <c r="H303" s="151"/>
      <c r="I303" s="151"/>
      <c r="J303" s="151"/>
      <c r="K303" s="151"/>
      <c r="L303" s="151"/>
      <c r="M303" s="151"/>
      <c r="N303" s="151"/>
      <c r="O303" s="151"/>
      <c r="P303" s="159"/>
    </row>
    <row r="304" spans="1:16" ht="25.5" customHeight="1">
      <c r="A304" s="155">
        <v>244</v>
      </c>
      <c r="B304" s="155">
        <v>244</v>
      </c>
      <c r="C304" s="173" t="s">
        <v>146</v>
      </c>
      <c r="D304" s="153" t="s">
        <v>555</v>
      </c>
      <c r="E304" s="151" t="s">
        <v>429</v>
      </c>
      <c r="F304" s="151">
        <v>15</v>
      </c>
      <c r="G304" s="198">
        <f aca="true" t="shared" si="16" ref="G304:G312">H304/F304</f>
        <v>2926.6666666666665</v>
      </c>
      <c r="H304" s="151">
        <f>I304</f>
        <v>43900</v>
      </c>
      <c r="I304" s="151">
        <f>K304</f>
        <v>43900</v>
      </c>
      <c r="J304" s="151"/>
      <c r="K304" s="151">
        <f>63900-20000</f>
        <v>43900</v>
      </c>
      <c r="L304" s="151"/>
      <c r="M304" s="151"/>
      <c r="N304" s="151"/>
      <c r="O304" s="151"/>
      <c r="P304" s="159"/>
    </row>
    <row r="305" spans="1:16" ht="50.25" customHeight="1">
      <c r="A305" s="155">
        <v>244</v>
      </c>
      <c r="B305" s="155">
        <v>244</v>
      </c>
      <c r="C305" s="173" t="s">
        <v>426</v>
      </c>
      <c r="D305" s="153" t="s">
        <v>294</v>
      </c>
      <c r="E305" s="151" t="s">
        <v>429</v>
      </c>
      <c r="F305" s="151">
        <v>20</v>
      </c>
      <c r="G305" s="198">
        <f t="shared" si="16"/>
        <v>1000</v>
      </c>
      <c r="H305" s="151">
        <f>I305</f>
        <v>20000</v>
      </c>
      <c r="I305" s="151">
        <f>J305</f>
        <v>20000</v>
      </c>
      <c r="J305" s="151">
        <v>20000</v>
      </c>
      <c r="K305" s="151"/>
      <c r="L305" s="151"/>
      <c r="M305" s="151"/>
      <c r="N305" s="151"/>
      <c r="O305" s="151"/>
      <c r="P305" s="159"/>
    </row>
    <row r="306" spans="1:16" ht="25.5" customHeight="1">
      <c r="A306" s="155">
        <v>244</v>
      </c>
      <c r="B306" s="155">
        <v>244</v>
      </c>
      <c r="C306" s="173" t="s">
        <v>428</v>
      </c>
      <c r="D306" s="153" t="s">
        <v>556</v>
      </c>
      <c r="E306" s="151" t="s">
        <v>429</v>
      </c>
      <c r="F306" s="151">
        <v>40</v>
      </c>
      <c r="G306" s="151">
        <f t="shared" si="16"/>
        <v>750</v>
      </c>
      <c r="H306" s="151">
        <f>I306</f>
        <v>30000</v>
      </c>
      <c r="I306" s="151">
        <f>K306</f>
        <v>30000</v>
      </c>
      <c r="J306" s="151"/>
      <c r="K306" s="151">
        <v>30000</v>
      </c>
      <c r="L306" s="151"/>
      <c r="M306" s="151"/>
      <c r="N306" s="151"/>
      <c r="O306" s="151"/>
      <c r="P306" s="159"/>
    </row>
    <row r="307" spans="1:16" ht="16.5" customHeight="1">
      <c r="A307" s="155">
        <v>244</v>
      </c>
      <c r="B307" s="155">
        <v>244</v>
      </c>
      <c r="C307" s="173" t="s">
        <v>430</v>
      </c>
      <c r="D307" s="153" t="s">
        <v>295</v>
      </c>
      <c r="E307" s="151" t="s">
        <v>289</v>
      </c>
      <c r="F307" s="151">
        <v>12</v>
      </c>
      <c r="G307" s="151">
        <f t="shared" si="16"/>
        <v>374503.2691666667</v>
      </c>
      <c r="H307" s="151">
        <f>I307+N307</f>
        <v>4494039.23</v>
      </c>
      <c r="I307" s="151">
        <f>J307+K307</f>
        <v>1343200</v>
      </c>
      <c r="J307" s="151">
        <v>53800</v>
      </c>
      <c r="K307" s="151">
        <v>1289400</v>
      </c>
      <c r="L307" s="151"/>
      <c r="M307" s="151"/>
      <c r="N307" s="250">
        <v>3150839.23</v>
      </c>
      <c r="O307" s="151"/>
      <c r="P307" s="159"/>
    </row>
    <row r="308" spans="1:15" s="159" customFormat="1" ht="16.5" customHeight="1">
      <c r="A308" s="284">
        <v>244</v>
      </c>
      <c r="B308" s="284">
        <v>244</v>
      </c>
      <c r="C308" s="285" t="s">
        <v>581</v>
      </c>
      <c r="D308" s="244" t="s">
        <v>582</v>
      </c>
      <c r="E308" s="243" t="s">
        <v>429</v>
      </c>
      <c r="F308" s="243">
        <v>180</v>
      </c>
      <c r="G308" s="243">
        <f>H308/F308</f>
        <v>8.88888888888889</v>
      </c>
      <c r="H308" s="243">
        <f>L308</f>
        <v>1600</v>
      </c>
      <c r="I308" s="243">
        <f>J308+K308</f>
        <v>0</v>
      </c>
      <c r="J308" s="243"/>
      <c r="K308" s="243"/>
      <c r="L308" s="243">
        <v>1600</v>
      </c>
      <c r="M308" s="243"/>
      <c r="N308" s="243"/>
      <c r="O308" s="243"/>
    </row>
    <row r="309" spans="1:16" ht="16.5" customHeight="1">
      <c r="A309" s="155">
        <v>244</v>
      </c>
      <c r="B309" s="155">
        <v>244</v>
      </c>
      <c r="C309" s="173" t="s">
        <v>453</v>
      </c>
      <c r="D309" s="153" t="s">
        <v>583</v>
      </c>
      <c r="E309" s="282" t="s">
        <v>429</v>
      </c>
      <c r="F309" s="282">
        <v>5</v>
      </c>
      <c r="G309" s="282">
        <f>H309/F309</f>
        <v>4000</v>
      </c>
      <c r="H309" s="282">
        <f>N309</f>
        <v>20000</v>
      </c>
      <c r="I309" s="282">
        <f>J309</f>
        <v>0</v>
      </c>
      <c r="J309" s="282"/>
      <c r="K309" s="282"/>
      <c r="L309" s="168"/>
      <c r="M309" s="282"/>
      <c r="N309" s="282">
        <v>20000</v>
      </c>
      <c r="O309" s="282"/>
      <c r="P309" s="159"/>
    </row>
    <row r="310" spans="1:16" ht="16.5" customHeight="1">
      <c r="A310" s="155">
        <v>244</v>
      </c>
      <c r="B310" s="155">
        <v>244</v>
      </c>
      <c r="C310" s="173" t="s">
        <v>453</v>
      </c>
      <c r="D310" s="153" t="s">
        <v>585</v>
      </c>
      <c r="E310" s="282" t="s">
        <v>429</v>
      </c>
      <c r="F310" s="282">
        <v>5</v>
      </c>
      <c r="G310" s="282">
        <f>H310/F310</f>
        <v>3381.6</v>
      </c>
      <c r="H310" s="282">
        <f>N310</f>
        <v>16908</v>
      </c>
      <c r="I310" s="282">
        <f>J310</f>
        <v>0</v>
      </c>
      <c r="J310" s="282"/>
      <c r="K310" s="282"/>
      <c r="L310" s="168"/>
      <c r="M310" s="282"/>
      <c r="N310" s="282">
        <v>16908</v>
      </c>
      <c r="O310" s="282"/>
      <c r="P310" s="159"/>
    </row>
    <row r="311" spans="1:16" ht="16.5" customHeight="1">
      <c r="A311" s="155">
        <v>244</v>
      </c>
      <c r="B311" s="155">
        <v>244</v>
      </c>
      <c r="C311" s="173" t="s">
        <v>453</v>
      </c>
      <c r="D311" s="153" t="s">
        <v>530</v>
      </c>
      <c r="E311" s="151" t="s">
        <v>429</v>
      </c>
      <c r="F311" s="151">
        <v>5</v>
      </c>
      <c r="G311" s="151">
        <f t="shared" si="16"/>
        <v>1000</v>
      </c>
      <c r="H311" s="151">
        <f>I311</f>
        <v>5000</v>
      </c>
      <c r="I311" s="151">
        <f>J311</f>
        <v>5000</v>
      </c>
      <c r="J311" s="151">
        <v>5000</v>
      </c>
      <c r="K311" s="151"/>
      <c r="L311" s="168"/>
      <c r="M311" s="151"/>
      <c r="N311" s="151"/>
      <c r="O311" s="151"/>
      <c r="P311" s="159"/>
    </row>
    <row r="312" spans="1:16" ht="18.75">
      <c r="A312" s="155"/>
      <c r="B312" s="155">
        <v>244</v>
      </c>
      <c r="C312" s="173" t="s">
        <v>463</v>
      </c>
      <c r="D312" s="114" t="s">
        <v>529</v>
      </c>
      <c r="E312" s="151" t="s">
        <v>452</v>
      </c>
      <c r="F312" s="151">
        <v>80</v>
      </c>
      <c r="G312" s="198">
        <f t="shared" si="16"/>
        <v>125</v>
      </c>
      <c r="H312" s="155">
        <f>I312</f>
        <v>10000</v>
      </c>
      <c r="I312" s="151">
        <f>J312</f>
        <v>10000</v>
      </c>
      <c r="J312" s="151">
        <v>10000</v>
      </c>
      <c r="K312" s="151"/>
      <c r="L312" s="168"/>
      <c r="M312" s="151"/>
      <c r="N312" s="168"/>
      <c r="O312" s="151"/>
      <c r="P312" s="159"/>
    </row>
    <row r="313" spans="1:16" ht="18.75">
      <c r="A313" s="151" t="s">
        <v>203</v>
      </c>
      <c r="B313" s="151" t="s">
        <v>203</v>
      </c>
      <c r="C313" s="151" t="s">
        <v>203</v>
      </c>
      <c r="D313" s="153" t="s">
        <v>29</v>
      </c>
      <c r="E313" s="151" t="s">
        <v>16</v>
      </c>
      <c r="F313" s="151" t="s">
        <v>16</v>
      </c>
      <c r="G313" s="151" t="s">
        <v>16</v>
      </c>
      <c r="H313" s="155">
        <f>H302</f>
        <v>4641447.23</v>
      </c>
      <c r="I313" s="155">
        <f aca="true" t="shared" si="17" ref="I313:O313">I302</f>
        <v>1452100</v>
      </c>
      <c r="J313" s="155">
        <f>J302</f>
        <v>88800</v>
      </c>
      <c r="K313" s="155">
        <f>K302</f>
        <v>1363300</v>
      </c>
      <c r="L313" s="155">
        <f t="shared" si="17"/>
        <v>1600</v>
      </c>
      <c r="M313" s="155">
        <f t="shared" si="17"/>
        <v>0</v>
      </c>
      <c r="N313" s="155">
        <f t="shared" si="17"/>
        <v>3170839.23</v>
      </c>
      <c r="O313" s="155">
        <f t="shared" si="17"/>
        <v>0</v>
      </c>
      <c r="P313" s="159"/>
    </row>
    <row r="314" spans="1:16" ht="18.75">
      <c r="A314" s="158">
        <f>'Раздел 1'!D81-H313</f>
        <v>0</v>
      </c>
      <c r="B314" s="158"/>
      <c r="C314" s="159"/>
      <c r="E314" s="159"/>
      <c r="F314" s="159"/>
      <c r="G314" s="159"/>
      <c r="H314" s="182"/>
      <c r="I314" s="159"/>
      <c r="J314" s="169">
        <f>'Раздел 1'!T81</f>
        <v>88800</v>
      </c>
      <c r="K314" s="169">
        <f>'Раздел 1'!L81</f>
        <v>1363300</v>
      </c>
      <c r="L314" s="169"/>
      <c r="M314" s="222"/>
      <c r="N314" s="169">
        <f>'Раздел 1'!AJ81</f>
        <v>3187747.23</v>
      </c>
      <c r="O314" s="159"/>
      <c r="P314" s="159"/>
    </row>
    <row r="315" spans="3:16" ht="18.75">
      <c r="C315" s="85" t="str">
        <f>'Раздел 1'!A93</f>
        <v>Начальник планового отдела</v>
      </c>
      <c r="D315" s="116"/>
      <c r="E315" s="85"/>
      <c r="F315" s="85" t="s">
        <v>25</v>
      </c>
      <c r="G315" s="85"/>
      <c r="H315" s="316"/>
      <c r="I315" s="316"/>
      <c r="J315" s="85"/>
      <c r="K315" s="308" t="str">
        <f>'Раздел 1'!F93</f>
        <v>А.М. Шхалахова</v>
      </c>
      <c r="L315" s="308"/>
      <c r="M315" s="308"/>
      <c r="N315" s="308"/>
      <c r="O315" s="85"/>
      <c r="P315" s="85"/>
    </row>
    <row r="316" spans="1:16" ht="18.75">
      <c r="A316" s="199">
        <f>'Раздел 1'!D41-J16-H32-H43-G58-G80-G102-G126-G149-G162-H176-I193-G210-G246-G276-G293-H313</f>
        <v>-0.002935945987701416</v>
      </c>
      <c r="B316" s="199"/>
      <c r="C316" s="85" t="str">
        <f>'Раздел 1'!A94</f>
        <v>тел.270-24-56</v>
      </c>
      <c r="D316" s="116"/>
      <c r="E316" s="85"/>
      <c r="F316" s="85" t="s">
        <v>42</v>
      </c>
      <c r="G316" s="85"/>
      <c r="H316" s="85"/>
      <c r="I316" s="85"/>
      <c r="J316" s="85"/>
      <c r="K316" s="360" t="s">
        <v>23</v>
      </c>
      <c r="L316" s="360"/>
      <c r="M316" s="360"/>
      <c r="N316" s="360"/>
      <c r="O316" s="85"/>
      <c r="P316" s="85"/>
    </row>
    <row r="317" spans="3:16" ht="10.5" customHeight="1">
      <c r="C317" s="85"/>
      <c r="D317" s="116"/>
      <c r="E317" s="85"/>
      <c r="F317" s="85"/>
      <c r="G317" s="85"/>
      <c r="H317" s="85"/>
      <c r="I317" s="85"/>
      <c r="J317" s="85"/>
      <c r="K317" s="85"/>
      <c r="L317" s="85"/>
      <c r="M317" s="85"/>
      <c r="N317" s="85"/>
      <c r="O317" s="85"/>
      <c r="P317" s="85"/>
    </row>
    <row r="318" spans="3:16" ht="10.5" customHeight="1">
      <c r="C318" s="85"/>
      <c r="D318" s="116"/>
      <c r="E318" s="85"/>
      <c r="F318" s="85"/>
      <c r="G318" s="85"/>
      <c r="H318" s="85"/>
      <c r="I318" s="85"/>
      <c r="J318" s="85"/>
      <c r="K318" s="85"/>
      <c r="L318" s="85"/>
      <c r="M318" s="85"/>
      <c r="N318" s="85"/>
      <c r="O318" s="85"/>
      <c r="P318" s="85"/>
    </row>
    <row r="319" spans="3:16" ht="18.75" customHeight="1">
      <c r="C319" s="326" t="s">
        <v>44</v>
      </c>
      <c r="D319" s="326"/>
      <c r="E319" s="326"/>
      <c r="F319" s="85" t="s">
        <v>25</v>
      </c>
      <c r="G319" s="85"/>
      <c r="H319" s="316"/>
      <c r="I319" s="316"/>
      <c r="J319" s="85"/>
      <c r="K319" s="308" t="str">
        <f>'Заголовочная часть'!F8</f>
        <v>Е.В.Лопина</v>
      </c>
      <c r="L319" s="308"/>
      <c r="M319" s="308"/>
      <c r="N319" s="308"/>
      <c r="O319" s="85"/>
      <c r="P319" s="85"/>
    </row>
    <row r="320" spans="3:16" ht="16.5" customHeight="1">
      <c r="C320" s="326"/>
      <c r="D320" s="326"/>
      <c r="E320" s="326"/>
      <c r="F320" s="85" t="s">
        <v>42</v>
      </c>
      <c r="G320" s="85"/>
      <c r="H320" s="85"/>
      <c r="I320" s="85"/>
      <c r="J320" s="85"/>
      <c r="K320" s="360" t="s">
        <v>23</v>
      </c>
      <c r="L320" s="360"/>
      <c r="M320" s="360"/>
      <c r="N320" s="360"/>
      <c r="O320" s="85"/>
      <c r="P320" s="85"/>
    </row>
    <row r="321" spans="3:16" ht="18.75">
      <c r="C321" s="85" t="str">
        <f>'Раздел 2 '!B55</f>
        <v>тел. 270-28-91</v>
      </c>
      <c r="D321" s="116"/>
      <c r="E321" s="85"/>
      <c r="F321" s="85"/>
      <c r="G321" s="85"/>
      <c r="H321" s="85"/>
      <c r="I321" s="85"/>
      <c r="J321" s="85"/>
      <c r="K321" s="85"/>
      <c r="L321" s="85"/>
      <c r="M321" s="85"/>
      <c r="N321" s="85"/>
      <c r="O321" s="85"/>
      <c r="P321" s="85"/>
    </row>
    <row r="322" ht="8.25" customHeight="1"/>
    <row r="323" ht="18.75">
      <c r="C323" s="12" t="str">
        <f>'Раздел 1'!A95</f>
        <v>Исполнитель  Доброва Ю.В.</v>
      </c>
    </row>
    <row r="324" ht="16.5" customHeight="1">
      <c r="C324" s="12" t="str">
        <f>'Раздел 1'!A96</f>
        <v>тел.270-24-56</v>
      </c>
    </row>
    <row r="325" ht="6.75" customHeight="1" hidden="1"/>
    <row r="326" ht="3.75" customHeight="1" hidden="1"/>
    <row r="327" ht="18.75">
      <c r="C327" s="12" t="str">
        <f>'Заголовочная часть'!B16</f>
        <v>от "06"  сентября    2023 г.</v>
      </c>
    </row>
    <row r="329" spans="2:15" ht="24.75" customHeight="1">
      <c r="B329" s="290" t="s">
        <v>324</v>
      </c>
      <c r="C329" s="290"/>
      <c r="D329" s="290"/>
      <c r="E329" s="290"/>
      <c r="O329" s="200" t="s">
        <v>198</v>
      </c>
    </row>
    <row r="1974" ht="15"/>
  </sheetData>
  <sheetProtection/>
  <mergeCells count="291">
    <mergeCell ref="M1:P1"/>
    <mergeCell ref="M3:P3"/>
    <mergeCell ref="B5:P5"/>
    <mergeCell ref="B6:P6"/>
    <mergeCell ref="B7:P7"/>
    <mergeCell ref="B8:B10"/>
    <mergeCell ref="C8:C10"/>
    <mergeCell ref="D8:D10"/>
    <mergeCell ref="E8:E10"/>
    <mergeCell ref="F8:I8"/>
    <mergeCell ref="J8:J10"/>
    <mergeCell ref="K8:P8"/>
    <mergeCell ref="F9:F10"/>
    <mergeCell ref="G9:I9"/>
    <mergeCell ref="K9:M9"/>
    <mergeCell ref="N9:N10"/>
    <mergeCell ref="O9:P9"/>
    <mergeCell ref="B18:P18"/>
    <mergeCell ref="B20:N20"/>
    <mergeCell ref="B22:B25"/>
    <mergeCell ref="C22:C25"/>
    <mergeCell ref="D22:D25"/>
    <mergeCell ref="E22:E25"/>
    <mergeCell ref="F22:F25"/>
    <mergeCell ref="G22:G25"/>
    <mergeCell ref="H22:H25"/>
    <mergeCell ref="I22:N22"/>
    <mergeCell ref="I23:K23"/>
    <mergeCell ref="L23:L25"/>
    <mergeCell ref="M23:N24"/>
    <mergeCell ref="I24:I25"/>
    <mergeCell ref="J24:J25"/>
    <mergeCell ref="K24:K25"/>
    <mergeCell ref="B34:N34"/>
    <mergeCell ref="B36:B40"/>
    <mergeCell ref="C36:C40"/>
    <mergeCell ref="D36:D40"/>
    <mergeCell ref="E36:E40"/>
    <mergeCell ref="F36:F40"/>
    <mergeCell ref="G36:G40"/>
    <mergeCell ref="H36:H40"/>
    <mergeCell ref="I36:N36"/>
    <mergeCell ref="I37:K37"/>
    <mergeCell ref="L37:L40"/>
    <mergeCell ref="M37:N39"/>
    <mergeCell ref="I38:I40"/>
    <mergeCell ref="J38:J40"/>
    <mergeCell ref="K38:K40"/>
    <mergeCell ref="B46:N46"/>
    <mergeCell ref="B48:B51"/>
    <mergeCell ref="C48:C51"/>
    <mergeCell ref="D48:D51"/>
    <mergeCell ref="E48:E51"/>
    <mergeCell ref="F48:F51"/>
    <mergeCell ref="G48:G51"/>
    <mergeCell ref="H48:N48"/>
    <mergeCell ref="H49:J49"/>
    <mergeCell ref="K49:K51"/>
    <mergeCell ref="L49:L51"/>
    <mergeCell ref="M49:N50"/>
    <mergeCell ref="H50:H51"/>
    <mergeCell ref="I50:I51"/>
    <mergeCell ref="J50:J51"/>
    <mergeCell ref="B60:P60"/>
    <mergeCell ref="B62:N62"/>
    <mergeCell ref="B64:B67"/>
    <mergeCell ref="C64:C67"/>
    <mergeCell ref="D64:D67"/>
    <mergeCell ref="E64:E67"/>
    <mergeCell ref="F64:F67"/>
    <mergeCell ref="G64:G67"/>
    <mergeCell ref="H64:N64"/>
    <mergeCell ref="H65:J65"/>
    <mergeCell ref="K65:K67"/>
    <mergeCell ref="L65:L67"/>
    <mergeCell ref="M65:N66"/>
    <mergeCell ref="H66:H67"/>
    <mergeCell ref="I66:I67"/>
    <mergeCell ref="J66:J67"/>
    <mergeCell ref="B82:N82"/>
    <mergeCell ref="B84:N84"/>
    <mergeCell ref="B86:B89"/>
    <mergeCell ref="C86:C89"/>
    <mergeCell ref="D86:D89"/>
    <mergeCell ref="E86:E89"/>
    <mergeCell ref="F86:F89"/>
    <mergeCell ref="G86:G89"/>
    <mergeCell ref="H86:N86"/>
    <mergeCell ref="H87:J87"/>
    <mergeCell ref="K87:K89"/>
    <mergeCell ref="L87:L89"/>
    <mergeCell ref="M87:N88"/>
    <mergeCell ref="H88:H89"/>
    <mergeCell ref="I88:I89"/>
    <mergeCell ref="J88:J89"/>
    <mergeCell ref="B104:N104"/>
    <mergeCell ref="B106:B109"/>
    <mergeCell ref="C106:C109"/>
    <mergeCell ref="D106:D109"/>
    <mergeCell ref="E106:E109"/>
    <mergeCell ref="F106:F109"/>
    <mergeCell ref="G106:G109"/>
    <mergeCell ref="H106:N106"/>
    <mergeCell ref="H107:J107"/>
    <mergeCell ref="K107:K109"/>
    <mergeCell ref="L107:L109"/>
    <mergeCell ref="M107:N108"/>
    <mergeCell ref="H108:H109"/>
    <mergeCell ref="I108:I109"/>
    <mergeCell ref="J108:J109"/>
    <mergeCell ref="B117:N117"/>
    <mergeCell ref="B119:B122"/>
    <mergeCell ref="C119:C122"/>
    <mergeCell ref="D119:D122"/>
    <mergeCell ref="E119:E122"/>
    <mergeCell ref="F119:F122"/>
    <mergeCell ref="G119:G122"/>
    <mergeCell ref="H119:N119"/>
    <mergeCell ref="H120:J120"/>
    <mergeCell ref="K120:K122"/>
    <mergeCell ref="L120:L122"/>
    <mergeCell ref="M120:N121"/>
    <mergeCell ref="H121:H122"/>
    <mergeCell ref="I121:I122"/>
    <mergeCell ref="J121:J122"/>
    <mergeCell ref="B128:N128"/>
    <mergeCell ref="B130:N130"/>
    <mergeCell ref="B132:B135"/>
    <mergeCell ref="C132:C135"/>
    <mergeCell ref="D132:D135"/>
    <mergeCell ref="H132:N132"/>
    <mergeCell ref="E133:E135"/>
    <mergeCell ref="F133:F135"/>
    <mergeCell ref="G133:G135"/>
    <mergeCell ref="H133:J133"/>
    <mergeCell ref="K133:K135"/>
    <mergeCell ref="L133:L135"/>
    <mergeCell ref="M133:N134"/>
    <mergeCell ref="H134:H135"/>
    <mergeCell ref="I134:I135"/>
    <mergeCell ref="J134:J135"/>
    <mergeCell ref="B151:N151"/>
    <mergeCell ref="B153:B156"/>
    <mergeCell ref="C153:C156"/>
    <mergeCell ref="D153:D156"/>
    <mergeCell ref="E153:E156"/>
    <mergeCell ref="F153:F156"/>
    <mergeCell ref="G153:G156"/>
    <mergeCell ref="H153:N153"/>
    <mergeCell ref="H154:J154"/>
    <mergeCell ref="K154:K156"/>
    <mergeCell ref="L154:L156"/>
    <mergeCell ref="M154:N155"/>
    <mergeCell ref="H155:H156"/>
    <mergeCell ref="I155:I156"/>
    <mergeCell ref="J155:J156"/>
    <mergeCell ref="B164:N164"/>
    <mergeCell ref="B166:N166"/>
    <mergeCell ref="B168:B171"/>
    <mergeCell ref="C168:C171"/>
    <mergeCell ref="D168:D171"/>
    <mergeCell ref="E168:E171"/>
    <mergeCell ref="F168:F171"/>
    <mergeCell ref="G168:G171"/>
    <mergeCell ref="I168:O168"/>
    <mergeCell ref="H169:H171"/>
    <mergeCell ref="I169:K169"/>
    <mergeCell ref="L169:L171"/>
    <mergeCell ref="M169:M171"/>
    <mergeCell ref="N169:O170"/>
    <mergeCell ref="I170:I171"/>
    <mergeCell ref="J170:J171"/>
    <mergeCell ref="K170:K171"/>
    <mergeCell ref="B178:P178"/>
    <mergeCell ref="B180:B183"/>
    <mergeCell ref="C180:C183"/>
    <mergeCell ref="D180:D183"/>
    <mergeCell ref="E180:E183"/>
    <mergeCell ref="F180:F183"/>
    <mergeCell ref="H180:H183"/>
    <mergeCell ref="I180:I183"/>
    <mergeCell ref="J180:P180"/>
    <mergeCell ref="G181:G183"/>
    <mergeCell ref="J181:L181"/>
    <mergeCell ref="M181:M183"/>
    <mergeCell ref="N181:N183"/>
    <mergeCell ref="O181:P182"/>
    <mergeCell ref="J182:J183"/>
    <mergeCell ref="K182:K183"/>
    <mergeCell ref="L182:L183"/>
    <mergeCell ref="B195:N195"/>
    <mergeCell ref="B197:B200"/>
    <mergeCell ref="C197:C200"/>
    <mergeCell ref="D197:D200"/>
    <mergeCell ref="E197:E200"/>
    <mergeCell ref="F197:F200"/>
    <mergeCell ref="H197:N197"/>
    <mergeCell ref="G198:G200"/>
    <mergeCell ref="H198:J198"/>
    <mergeCell ref="K198:K200"/>
    <mergeCell ref="L198:L200"/>
    <mergeCell ref="M198:N199"/>
    <mergeCell ref="H199:H200"/>
    <mergeCell ref="I199:I200"/>
    <mergeCell ref="J199:J200"/>
    <mergeCell ref="B212:N212"/>
    <mergeCell ref="B214:B217"/>
    <mergeCell ref="C214:C217"/>
    <mergeCell ref="D214:D217"/>
    <mergeCell ref="E214:E217"/>
    <mergeCell ref="F214:F217"/>
    <mergeCell ref="G214:G217"/>
    <mergeCell ref="H214:N214"/>
    <mergeCell ref="H215:J215"/>
    <mergeCell ref="K215:K217"/>
    <mergeCell ref="L215:L217"/>
    <mergeCell ref="M215:N216"/>
    <mergeCell ref="H216:H217"/>
    <mergeCell ref="I216:I217"/>
    <mergeCell ref="J216:J217"/>
    <mergeCell ref="B248:N248"/>
    <mergeCell ref="B250:B253"/>
    <mergeCell ref="C250:C253"/>
    <mergeCell ref="D250:D253"/>
    <mergeCell ref="E250:E253"/>
    <mergeCell ref="F250:F253"/>
    <mergeCell ref="G250:G253"/>
    <mergeCell ref="H250:N250"/>
    <mergeCell ref="H251:J251"/>
    <mergeCell ref="K251:K253"/>
    <mergeCell ref="L251:L253"/>
    <mergeCell ref="M251:N252"/>
    <mergeCell ref="H252:H253"/>
    <mergeCell ref="I252:I253"/>
    <mergeCell ref="J252:J253"/>
    <mergeCell ref="B278:N278"/>
    <mergeCell ref="B280:B283"/>
    <mergeCell ref="C280:C283"/>
    <mergeCell ref="D280:D283"/>
    <mergeCell ref="E280:E283"/>
    <mergeCell ref="F280:F283"/>
    <mergeCell ref="H280:N280"/>
    <mergeCell ref="G281:G283"/>
    <mergeCell ref="H281:J281"/>
    <mergeCell ref="K281:K283"/>
    <mergeCell ref="L281:L283"/>
    <mergeCell ref="M281:N282"/>
    <mergeCell ref="H282:H283"/>
    <mergeCell ref="I282:I283"/>
    <mergeCell ref="J282:J283"/>
    <mergeCell ref="B295:N295"/>
    <mergeCell ref="B297:B300"/>
    <mergeCell ref="C297:C300"/>
    <mergeCell ref="D297:D300"/>
    <mergeCell ref="E297:E300"/>
    <mergeCell ref="F297:F300"/>
    <mergeCell ref="G297:G300"/>
    <mergeCell ref="I297:O297"/>
    <mergeCell ref="H298:H300"/>
    <mergeCell ref="I298:K298"/>
    <mergeCell ref="L298:L300"/>
    <mergeCell ref="M298:M300"/>
    <mergeCell ref="N298:O299"/>
    <mergeCell ref="I299:I300"/>
    <mergeCell ref="J299:J300"/>
    <mergeCell ref="K299:K300"/>
    <mergeCell ref="H315:I315"/>
    <mergeCell ref="K315:N315"/>
    <mergeCell ref="K316:N316"/>
    <mergeCell ref="C319:E320"/>
    <mergeCell ref="H319:I319"/>
    <mergeCell ref="K319:N319"/>
    <mergeCell ref="K320:N320"/>
    <mergeCell ref="B329:E329"/>
    <mergeCell ref="A8:A10"/>
    <mergeCell ref="A22:A25"/>
    <mergeCell ref="A36:A40"/>
    <mergeCell ref="A48:A51"/>
    <mergeCell ref="A64:A67"/>
    <mergeCell ref="A86:A89"/>
    <mergeCell ref="A106:A109"/>
    <mergeCell ref="A119:A122"/>
    <mergeCell ref="A132:A135"/>
    <mergeCell ref="A280:A283"/>
    <mergeCell ref="A297:A300"/>
    <mergeCell ref="A153:A156"/>
    <mergeCell ref="A168:A171"/>
    <mergeCell ref="A180:A183"/>
    <mergeCell ref="A197:A200"/>
    <mergeCell ref="A214:A217"/>
    <mergeCell ref="A250:A253"/>
  </mergeCells>
  <hyperlinks>
    <hyperlink ref="G133" location="Par1974" display="Par1974"/>
    <hyperlink ref="B60" r:id="rId1" display="consultantplus://offline/ref=E18600745EBC44CEAA2F53ED324B832AC74B0D5A8902FAEA1C3BAF104A096F89C1921D6213BE05F8E9B4EE62O6VAP"/>
    <hyperlink ref="A60" r:id="rId2" display="consultantplus://offline/ref=E18600745EBC44CEAA2F53ED324B832AC74B0D5A8902FAEA1C3BAF104A096F89C1921D6213BE05F8E9B4EE62O6VAP"/>
  </hyperlinks>
  <printOptions/>
  <pageMargins left="0.7" right="0.7" top="0.75" bottom="0.75" header="0.3" footer="0.3"/>
  <pageSetup fitToHeight="0" fitToWidth="1" horizontalDpi="600" verticalDpi="600" orientation="landscape" paperSize="9" scale="48" r:id="rId3"/>
  <rowBreaks count="6" manualBreakCount="6">
    <brk id="61" min="1" max="15" man="1"/>
    <brk id="103" min="1" max="15" man="1"/>
    <brk id="177" min="1" max="15" man="1"/>
    <brk id="194" min="1" max="15" man="1"/>
    <brk id="247" min="1" max="15" man="1"/>
    <brk id="277" min="1" max="15" man="1"/>
  </rowBreaks>
</worksheet>
</file>

<file path=xl/worksheets/sheet13.xml><?xml version="1.0" encoding="utf-8"?>
<worksheet xmlns="http://schemas.openxmlformats.org/spreadsheetml/2006/main" xmlns:r="http://schemas.openxmlformats.org/officeDocument/2006/relationships">
  <dimension ref="A1:D86"/>
  <sheetViews>
    <sheetView view="pageBreakPreview" zoomScale="60" zoomScalePageLayoutView="0" workbookViewId="0" topLeftCell="A1">
      <selection activeCell="D60" sqref="D60"/>
    </sheetView>
  </sheetViews>
  <sheetFormatPr defaultColWidth="9.140625" defaultRowHeight="15"/>
  <cols>
    <col min="1" max="1" width="77.421875" style="1" customWidth="1"/>
    <col min="2" max="2" width="30.28125" style="1" customWidth="1"/>
    <col min="3" max="3" width="27.7109375" style="1" customWidth="1"/>
    <col min="4" max="4" width="45.7109375" style="1" customWidth="1"/>
  </cols>
  <sheetData>
    <row r="1" spans="1:4" ht="18.75">
      <c r="A1" s="381"/>
      <c r="B1" s="381"/>
      <c r="C1" s="381"/>
      <c r="D1" s="2" t="s">
        <v>435</v>
      </c>
    </row>
    <row r="2" spans="1:4" ht="18.75">
      <c r="A2" s="382" t="s">
        <v>436</v>
      </c>
      <c r="B2" s="382"/>
      <c r="C2" s="55" t="str">
        <f>'Заголовочная часть'!B16</f>
        <v>от "06"  сентября    2023 г.</v>
      </c>
      <c r="D2" s="55"/>
    </row>
    <row r="3" spans="1:4" ht="15">
      <c r="A3"/>
      <c r="B3"/>
      <c r="C3"/>
      <c r="D3"/>
    </row>
    <row r="4" spans="1:3" ht="18.75">
      <c r="A4" s="56"/>
      <c r="C4" s="56" t="s">
        <v>41</v>
      </c>
    </row>
    <row r="5" spans="1:4" ht="75">
      <c r="A5" s="57" t="s">
        <v>8</v>
      </c>
      <c r="B5" s="57" t="s">
        <v>17</v>
      </c>
      <c r="C5" s="57" t="s">
        <v>437</v>
      </c>
      <c r="D5" s="57" t="s">
        <v>438</v>
      </c>
    </row>
    <row r="6" spans="1:4" ht="18.75">
      <c r="A6" s="57">
        <v>1</v>
      </c>
      <c r="B6" s="57">
        <v>2</v>
      </c>
      <c r="C6" s="57">
        <v>3</v>
      </c>
      <c r="D6" s="57">
        <v>4</v>
      </c>
    </row>
    <row r="7" spans="1:4" ht="20.25" customHeight="1">
      <c r="A7" s="58" t="s">
        <v>439</v>
      </c>
      <c r="B7" s="59"/>
      <c r="C7" s="60">
        <f>C9</f>
        <v>-786.5</v>
      </c>
      <c r="D7" s="61"/>
    </row>
    <row r="8" spans="1:4" ht="21.75" customHeight="1">
      <c r="A8" s="62" t="s">
        <v>440</v>
      </c>
      <c r="B8" s="62"/>
      <c r="C8" s="62"/>
      <c r="D8" s="62"/>
    </row>
    <row r="9" spans="1:4" ht="18.75">
      <c r="A9" s="62" t="s">
        <v>441</v>
      </c>
      <c r="B9" s="57"/>
      <c r="C9" s="63">
        <f>C13</f>
        <v>-786.5</v>
      </c>
      <c r="D9" s="57"/>
    </row>
    <row r="10" spans="1:4" ht="18.75">
      <c r="A10" s="62" t="s">
        <v>14</v>
      </c>
      <c r="B10" s="57"/>
      <c r="C10" s="63"/>
      <c r="D10" s="57"/>
    </row>
    <row r="11" spans="1:4" ht="18.75">
      <c r="A11" s="64" t="s">
        <v>442</v>
      </c>
      <c r="B11" s="57">
        <v>130</v>
      </c>
      <c r="C11" s="63"/>
      <c r="D11" s="57"/>
    </row>
    <row r="12" spans="1:4" ht="18.75">
      <c r="A12" s="65"/>
      <c r="B12" s="57"/>
      <c r="C12" s="66"/>
      <c r="D12" s="57"/>
    </row>
    <row r="13" spans="1:4" ht="18.75">
      <c r="A13" s="62" t="s">
        <v>443</v>
      </c>
      <c r="B13" s="57"/>
      <c r="C13" s="63">
        <f>SUM(C15:C25)</f>
        <v>-786.5</v>
      </c>
      <c r="D13" s="57"/>
    </row>
    <row r="14" spans="1:4" ht="18.75">
      <c r="A14" s="62" t="s">
        <v>14</v>
      </c>
      <c r="B14" s="57"/>
      <c r="C14" s="63"/>
      <c r="D14" s="57"/>
    </row>
    <row r="15" spans="1:4" ht="18.75" hidden="1">
      <c r="A15" s="36" t="s">
        <v>474</v>
      </c>
      <c r="B15" s="57">
        <v>111</v>
      </c>
      <c r="C15" s="16"/>
      <c r="D15" s="57"/>
    </row>
    <row r="16" spans="1:4" ht="18.75">
      <c r="A16" s="36" t="s">
        <v>474</v>
      </c>
      <c r="B16" s="57">
        <v>111</v>
      </c>
      <c r="C16" s="16">
        <v>-5750</v>
      </c>
      <c r="D16" s="31" t="s">
        <v>592</v>
      </c>
    </row>
    <row r="17" spans="1:4" ht="18.75">
      <c r="A17" s="36" t="s">
        <v>73</v>
      </c>
      <c r="B17" s="57">
        <v>112</v>
      </c>
      <c r="C17" s="261">
        <v>6700</v>
      </c>
      <c r="D17" s="27" t="s">
        <v>590</v>
      </c>
    </row>
    <row r="18" spans="1:4" ht="31.5">
      <c r="A18" s="36" t="s">
        <v>223</v>
      </c>
      <c r="B18" s="57">
        <v>119</v>
      </c>
      <c r="C18" s="256">
        <v>-1736.5</v>
      </c>
      <c r="D18" s="31" t="s">
        <v>592</v>
      </c>
    </row>
    <row r="19" spans="1:4" ht="31.5">
      <c r="A19" s="36" t="s">
        <v>75</v>
      </c>
      <c r="B19" s="57">
        <v>321</v>
      </c>
      <c r="C19" s="16"/>
      <c r="D19" s="27"/>
    </row>
    <row r="20" spans="1:4" ht="18.75">
      <c r="A20" s="41" t="s">
        <v>78</v>
      </c>
      <c r="B20" s="57">
        <v>244</v>
      </c>
      <c r="C20" s="16"/>
      <c r="D20" s="57"/>
    </row>
    <row r="21" spans="1:4" ht="18.75">
      <c r="A21" s="41" t="s">
        <v>85</v>
      </c>
      <c r="B21" s="57">
        <v>244</v>
      </c>
      <c r="C21" s="16"/>
      <c r="D21" s="57"/>
    </row>
    <row r="22" spans="1:4" ht="18.75">
      <c r="A22" s="68" t="s">
        <v>86</v>
      </c>
      <c r="B22" s="57">
        <v>244</v>
      </c>
      <c r="C22" s="16"/>
      <c r="D22" s="54"/>
    </row>
    <row r="23" spans="1:4" ht="31.5">
      <c r="A23" s="41" t="s">
        <v>88</v>
      </c>
      <c r="B23" s="57">
        <v>244</v>
      </c>
      <c r="C23" s="16"/>
      <c r="D23" s="57"/>
    </row>
    <row r="24" spans="1:4" ht="18.75">
      <c r="A24" s="41" t="s">
        <v>89</v>
      </c>
      <c r="B24" s="57">
        <v>244</v>
      </c>
      <c r="C24" s="57"/>
      <c r="D24" s="54"/>
    </row>
    <row r="25" spans="1:4" ht="18.75">
      <c r="A25" s="36" t="s">
        <v>241</v>
      </c>
      <c r="B25" s="57">
        <v>247</v>
      </c>
      <c r="C25" s="16">
        <f>C45</f>
        <v>0</v>
      </c>
      <c r="D25" s="57"/>
    </row>
    <row r="26" spans="1:4" ht="31.5">
      <c r="A26" s="36" t="s">
        <v>482</v>
      </c>
      <c r="B26" s="57">
        <v>323</v>
      </c>
      <c r="C26" s="57"/>
      <c r="D26" s="54"/>
    </row>
    <row r="27" spans="1:4" ht="18.75">
      <c r="A27" s="62" t="s">
        <v>444</v>
      </c>
      <c r="B27" s="57"/>
      <c r="C27" s="57"/>
      <c r="D27" s="57"/>
    </row>
    <row r="28" spans="1:4" ht="37.5" hidden="1">
      <c r="A28" s="58" t="s">
        <v>445</v>
      </c>
      <c r="B28" s="59"/>
      <c r="C28" s="59"/>
      <c r="D28" s="61"/>
    </row>
    <row r="29" spans="1:4" ht="18.75" hidden="1">
      <c r="A29" s="62" t="s">
        <v>440</v>
      </c>
      <c r="B29" s="62"/>
      <c r="C29" s="62"/>
      <c r="D29" s="62"/>
    </row>
    <row r="30" spans="1:4" ht="18.75" hidden="1">
      <c r="A30" s="62" t="s">
        <v>441</v>
      </c>
      <c r="B30" s="57"/>
      <c r="C30" s="63">
        <f>C34</f>
        <v>0</v>
      </c>
      <c r="D30" s="57"/>
    </row>
    <row r="31" spans="1:4" ht="18.75" hidden="1">
      <c r="A31" s="62" t="s">
        <v>14</v>
      </c>
      <c r="B31" s="57"/>
      <c r="C31" s="57"/>
      <c r="D31" s="57"/>
    </row>
    <row r="32" spans="1:4" ht="18.75" hidden="1">
      <c r="A32" s="64" t="s">
        <v>442</v>
      </c>
      <c r="B32" s="57">
        <v>130</v>
      </c>
      <c r="C32" s="63"/>
      <c r="D32" s="57"/>
    </row>
    <row r="33" spans="1:4" ht="18.75" hidden="1">
      <c r="A33" s="62"/>
      <c r="B33" s="57"/>
      <c r="C33" s="57"/>
      <c r="D33" s="57"/>
    </row>
    <row r="34" spans="1:4" ht="18.75" hidden="1">
      <c r="A34" s="62" t="s">
        <v>443</v>
      </c>
      <c r="B34" s="57"/>
      <c r="C34" s="63">
        <f>SUM(C36:C45)</f>
        <v>0</v>
      </c>
      <c r="D34" s="57"/>
    </row>
    <row r="35" spans="1:4" ht="18.75" hidden="1">
      <c r="A35" s="62" t="s">
        <v>14</v>
      </c>
      <c r="B35" s="57"/>
      <c r="C35" s="69"/>
      <c r="D35" s="69"/>
    </row>
    <row r="36" spans="1:4" ht="18.75" hidden="1">
      <c r="A36" s="36" t="s">
        <v>474</v>
      </c>
      <c r="B36" s="71">
        <v>111</v>
      </c>
      <c r="C36" s="256"/>
      <c r="D36" s="64"/>
    </row>
    <row r="37" spans="1:4" ht="31.5" hidden="1">
      <c r="A37" s="36" t="s">
        <v>223</v>
      </c>
      <c r="B37" s="71">
        <v>119</v>
      </c>
      <c r="C37" s="67"/>
      <c r="D37" s="64"/>
    </row>
    <row r="38" spans="1:4" ht="18.75" hidden="1">
      <c r="A38" s="36" t="s">
        <v>475</v>
      </c>
      <c r="B38" s="71">
        <v>851</v>
      </c>
      <c r="C38" s="72"/>
      <c r="D38" s="64"/>
    </row>
    <row r="39" spans="1:4" ht="31.5" hidden="1">
      <c r="A39" s="41" t="s">
        <v>229</v>
      </c>
      <c r="B39" s="71">
        <v>853</v>
      </c>
      <c r="C39" s="72"/>
      <c r="D39" s="64"/>
    </row>
    <row r="40" spans="1:4" ht="18.75" hidden="1">
      <c r="A40" s="41" t="s">
        <v>78</v>
      </c>
      <c r="B40" s="71">
        <v>244</v>
      </c>
      <c r="C40" s="72"/>
      <c r="D40" s="64"/>
    </row>
    <row r="41" spans="1:4" ht="18.75" hidden="1">
      <c r="A41" s="41" t="s">
        <v>85</v>
      </c>
      <c r="B41" s="71">
        <v>244</v>
      </c>
      <c r="C41" s="72"/>
      <c r="D41" s="64"/>
    </row>
    <row r="42" spans="1:4" ht="18.75" hidden="1">
      <c r="A42" s="68" t="s">
        <v>86</v>
      </c>
      <c r="B42" s="71">
        <v>244</v>
      </c>
      <c r="C42" s="72"/>
      <c r="D42" s="64"/>
    </row>
    <row r="43" spans="1:4" ht="31.5" hidden="1">
      <c r="A43" s="41" t="s">
        <v>88</v>
      </c>
      <c r="B43" s="71">
        <v>244</v>
      </c>
      <c r="C43" s="72"/>
      <c r="D43" s="64"/>
    </row>
    <row r="44" spans="1:4" ht="18.75" hidden="1">
      <c r="A44" s="41" t="s">
        <v>89</v>
      </c>
      <c r="B44" s="71">
        <v>244</v>
      </c>
      <c r="C44" s="72"/>
      <c r="D44" s="64"/>
    </row>
    <row r="45" spans="1:4" ht="18.75" hidden="1">
      <c r="A45" s="36" t="s">
        <v>241</v>
      </c>
      <c r="B45" s="71">
        <v>247</v>
      </c>
      <c r="C45" s="271"/>
      <c r="D45" s="54" t="s">
        <v>575</v>
      </c>
    </row>
    <row r="46" spans="1:4" ht="18.75" hidden="1">
      <c r="A46" s="62" t="s">
        <v>444</v>
      </c>
      <c r="B46" s="57"/>
      <c r="C46" s="70"/>
      <c r="D46" s="70"/>
    </row>
    <row r="47" spans="1:4" ht="54" customHeight="1">
      <c r="A47" s="58" t="s">
        <v>446</v>
      </c>
      <c r="B47" s="59"/>
      <c r="C47" s="59"/>
      <c r="D47" s="61"/>
    </row>
    <row r="48" spans="1:4" ht="18.75">
      <c r="A48" s="62" t="s">
        <v>440</v>
      </c>
      <c r="B48" s="62"/>
      <c r="C48" s="62"/>
      <c r="D48" s="62"/>
    </row>
    <row r="49" spans="1:4" ht="18.75">
      <c r="A49" s="62" t="s">
        <v>441</v>
      </c>
      <c r="B49" s="57"/>
      <c r="C49" s="63"/>
      <c r="D49" s="57"/>
    </row>
    <row r="50" spans="1:4" ht="18.75">
      <c r="A50" s="62" t="s">
        <v>14</v>
      </c>
      <c r="B50" s="57"/>
      <c r="C50" s="57"/>
      <c r="D50" s="57"/>
    </row>
    <row r="51" spans="1:4" ht="18.75">
      <c r="A51" s="50"/>
      <c r="B51" s="57"/>
      <c r="C51" s="63"/>
      <c r="D51" s="57"/>
    </row>
    <row r="52" spans="1:4" ht="18.75">
      <c r="A52" s="62"/>
      <c r="B52" s="57"/>
      <c r="C52" s="57"/>
      <c r="D52" s="57"/>
    </row>
    <row r="53" spans="1:4" ht="18.75">
      <c r="A53" s="62" t="s">
        <v>443</v>
      </c>
      <c r="B53" s="57"/>
      <c r="C53" s="63"/>
      <c r="D53" s="57"/>
    </row>
    <row r="54" spans="1:4" ht="18.75">
      <c r="A54" s="62" t="s">
        <v>14</v>
      </c>
      <c r="B54" s="57"/>
      <c r="C54" s="63"/>
      <c r="D54" s="57"/>
    </row>
    <row r="55" spans="1:4" ht="26.25" customHeight="1">
      <c r="A55" s="36" t="s">
        <v>474</v>
      </c>
      <c r="B55" s="57">
        <v>111</v>
      </c>
      <c r="C55" s="16">
        <v>-5750</v>
      </c>
      <c r="D55" s="31" t="s">
        <v>592</v>
      </c>
    </row>
    <row r="56" spans="1:4" ht="31.5">
      <c r="A56" s="36" t="s">
        <v>73</v>
      </c>
      <c r="B56" s="57">
        <v>112</v>
      </c>
      <c r="C56" s="261">
        <v>6700</v>
      </c>
      <c r="D56" s="27" t="s">
        <v>590</v>
      </c>
    </row>
    <row r="57" spans="1:4" ht="31.5" customHeight="1">
      <c r="A57" s="36" t="s">
        <v>223</v>
      </c>
      <c r="B57" s="57">
        <v>119</v>
      </c>
      <c r="C57" s="256">
        <v>-1736.5</v>
      </c>
      <c r="D57" s="31" t="s">
        <v>592</v>
      </c>
    </row>
    <row r="58" spans="1:4" ht="35.25" customHeight="1">
      <c r="A58" s="36" t="s">
        <v>223</v>
      </c>
      <c r="B58" s="57">
        <v>321</v>
      </c>
      <c r="C58" s="67"/>
      <c r="D58" s="27"/>
    </row>
    <row r="59" spans="1:4" ht="18.75">
      <c r="A59" s="68" t="s">
        <v>86</v>
      </c>
      <c r="B59" s="57">
        <v>244</v>
      </c>
      <c r="C59" s="16"/>
      <c r="D59" s="54"/>
    </row>
    <row r="60" spans="1:4" ht="31.5" customHeight="1">
      <c r="A60" s="41" t="s">
        <v>88</v>
      </c>
      <c r="B60" s="57">
        <v>244</v>
      </c>
      <c r="C60" s="16"/>
      <c r="D60" s="57"/>
    </row>
    <row r="61" spans="1:4" ht="31.5">
      <c r="A61" s="36" t="s">
        <v>482</v>
      </c>
      <c r="B61" s="57">
        <v>323</v>
      </c>
      <c r="C61" s="57"/>
      <c r="D61" s="54"/>
    </row>
    <row r="62" spans="1:4" ht="18.75">
      <c r="A62" s="62" t="s">
        <v>444</v>
      </c>
      <c r="B62" s="57"/>
      <c r="C62" s="57"/>
      <c r="D62" s="57"/>
    </row>
    <row r="63" spans="1:4" ht="18.75" hidden="1">
      <c r="A63" s="58" t="s">
        <v>447</v>
      </c>
      <c r="B63" s="59"/>
      <c r="C63" s="59"/>
      <c r="D63" s="61"/>
    </row>
    <row r="64" spans="1:4" ht="18.75" hidden="1">
      <c r="A64" s="62" t="s">
        <v>440</v>
      </c>
      <c r="B64" s="62"/>
      <c r="C64" s="62"/>
      <c r="D64" s="62"/>
    </row>
    <row r="65" spans="1:4" ht="18.75" hidden="1">
      <c r="A65" s="62" t="s">
        <v>441</v>
      </c>
      <c r="B65" s="57"/>
      <c r="C65" s="57"/>
      <c r="D65" s="57"/>
    </row>
    <row r="66" spans="1:4" ht="18.75" hidden="1">
      <c r="A66" s="62" t="s">
        <v>14</v>
      </c>
      <c r="B66" s="57"/>
      <c r="C66" s="57"/>
      <c r="D66" s="57"/>
    </row>
    <row r="67" spans="1:4" ht="18.75" hidden="1">
      <c r="A67" s="62"/>
      <c r="B67" s="57"/>
      <c r="C67" s="57"/>
      <c r="D67" s="57"/>
    </row>
    <row r="68" spans="1:4" ht="18.75" hidden="1">
      <c r="A68" s="62"/>
      <c r="B68" s="57"/>
      <c r="C68" s="57"/>
      <c r="D68" s="57"/>
    </row>
    <row r="69" spans="1:4" ht="18.75" hidden="1">
      <c r="A69" s="62" t="s">
        <v>443</v>
      </c>
      <c r="B69" s="57"/>
      <c r="C69" s="57"/>
      <c r="D69" s="57"/>
    </row>
    <row r="70" spans="1:4" ht="18.75" hidden="1">
      <c r="A70" s="62" t="s">
        <v>14</v>
      </c>
      <c r="B70" s="57"/>
      <c r="C70" s="57"/>
      <c r="D70" s="57"/>
    </row>
    <row r="71" spans="1:4" ht="18.75" hidden="1">
      <c r="A71" s="62"/>
      <c r="B71" s="57"/>
      <c r="C71" s="57"/>
      <c r="D71" s="57"/>
    </row>
    <row r="72" spans="1:4" ht="18.75" hidden="1">
      <c r="A72" s="62"/>
      <c r="B72" s="57"/>
      <c r="C72" s="57"/>
      <c r="D72" s="57"/>
    </row>
    <row r="73" spans="1:4" ht="18.75" hidden="1">
      <c r="A73" s="62" t="s">
        <v>444</v>
      </c>
      <c r="B73" s="57"/>
      <c r="C73" s="57"/>
      <c r="D73" s="57"/>
    </row>
    <row r="74" spans="1:4" ht="37.5" hidden="1">
      <c r="A74" s="58" t="s">
        <v>18</v>
      </c>
      <c r="B74" s="59"/>
      <c r="C74" s="59"/>
      <c r="D74" s="61"/>
    </row>
    <row r="75" spans="1:4" ht="18.75" hidden="1">
      <c r="A75" s="62" t="s">
        <v>440</v>
      </c>
      <c r="B75" s="62"/>
      <c r="C75" s="62"/>
      <c r="D75" s="62"/>
    </row>
    <row r="76" spans="1:4" ht="18.75" hidden="1">
      <c r="A76" s="62" t="s">
        <v>441</v>
      </c>
      <c r="B76" s="57"/>
      <c r="C76" s="63">
        <f>C80</f>
        <v>0</v>
      </c>
      <c r="D76" s="57"/>
    </row>
    <row r="77" spans="1:4" ht="18.75" hidden="1">
      <c r="A77" s="62" t="s">
        <v>14</v>
      </c>
      <c r="B77" s="57"/>
      <c r="C77" s="57"/>
      <c r="D77" s="57"/>
    </row>
    <row r="78" spans="1:4" ht="18.75" hidden="1">
      <c r="A78" s="62"/>
      <c r="B78" s="57"/>
      <c r="C78" s="57"/>
      <c r="D78" s="57"/>
    </row>
    <row r="79" spans="1:4" ht="18.75" hidden="1">
      <c r="A79" s="62"/>
      <c r="B79" s="57"/>
      <c r="C79" s="57"/>
      <c r="D79" s="57"/>
    </row>
    <row r="80" spans="1:4" ht="18.75" hidden="1">
      <c r="A80" s="62" t="s">
        <v>443</v>
      </c>
      <c r="B80" s="57"/>
      <c r="C80" s="63"/>
      <c r="D80" s="57"/>
    </row>
    <row r="81" spans="1:4" ht="18.75" hidden="1">
      <c r="A81" s="62" t="s">
        <v>14</v>
      </c>
      <c r="B81" s="57"/>
      <c r="C81" s="57"/>
      <c r="D81" s="57"/>
    </row>
    <row r="82" spans="1:4" ht="18.75" hidden="1">
      <c r="A82" s="41" t="s">
        <v>89</v>
      </c>
      <c r="B82" s="57">
        <v>244</v>
      </c>
      <c r="C82" s="57"/>
      <c r="D82" s="57" t="s">
        <v>573</v>
      </c>
    </row>
    <row r="83" spans="1:4" ht="18.75" hidden="1">
      <c r="A83" s="62"/>
      <c r="B83" s="57"/>
      <c r="C83" s="57"/>
      <c r="D83" s="57"/>
    </row>
    <row r="84" spans="1:4" ht="18.75">
      <c r="A84" s="62" t="s">
        <v>444</v>
      </c>
      <c r="B84" s="57"/>
      <c r="C84" s="57"/>
      <c r="D84" s="57"/>
    </row>
    <row r="85" spans="1:4" ht="18.75">
      <c r="A85" s="383" t="s">
        <v>448</v>
      </c>
      <c r="B85" s="383"/>
      <c r="C85" s="383"/>
      <c r="D85" s="383"/>
    </row>
    <row r="86" ht="18.75">
      <c r="B86" s="53"/>
    </row>
  </sheetData>
  <sheetProtection/>
  <mergeCells count="3">
    <mergeCell ref="A1:C1"/>
    <mergeCell ref="A2:B2"/>
    <mergeCell ref="A85:D85"/>
  </mergeCells>
  <printOptions/>
  <pageMargins left="0.7" right="0.7" top="0.75" bottom="0.75" header="0.3" footer="0.3"/>
  <pageSetup horizontalDpi="600" verticalDpi="600" orientation="portrait" paperSize="9" scale="48" r:id="rId1"/>
</worksheet>
</file>

<file path=xl/worksheets/sheet2.xml><?xml version="1.0" encoding="utf-8"?>
<worksheet xmlns="http://schemas.openxmlformats.org/spreadsheetml/2006/main" xmlns:r="http://schemas.openxmlformats.org/officeDocument/2006/relationships">
  <sheetPr>
    <tabColor rgb="FF92D050"/>
  </sheetPr>
  <dimension ref="A1:AO102"/>
  <sheetViews>
    <sheetView view="pageBreakPreview" zoomScale="60" zoomScaleNormal="70" workbookViewId="0" topLeftCell="A41">
      <selection activeCell="D50" activeCellId="2" sqref="D61 D61 D50"/>
    </sheetView>
  </sheetViews>
  <sheetFormatPr defaultColWidth="9.140625" defaultRowHeight="15"/>
  <cols>
    <col min="1" max="1" width="83.28125" style="90" customWidth="1"/>
    <col min="2" max="2" width="9.140625" style="90" customWidth="1"/>
    <col min="3" max="3" width="15.421875" style="102" customWidth="1"/>
    <col min="4" max="4" width="17.7109375" style="90" customWidth="1"/>
    <col min="5" max="5" width="19.140625" style="90" customWidth="1"/>
    <col min="6" max="6" width="18.28125" style="90" customWidth="1"/>
    <col min="7" max="7" width="17.140625" style="90" customWidth="1"/>
    <col min="8" max="8" width="5.28125" style="90" customWidth="1"/>
    <col min="9" max="9" width="82.421875" style="90" customWidth="1"/>
    <col min="10" max="10" width="9.140625" style="90" customWidth="1"/>
    <col min="11" max="11" width="16.57421875" style="102" customWidth="1"/>
    <col min="12" max="12" width="17.421875" style="90" customWidth="1"/>
    <col min="13" max="13" width="19.28125" style="90" customWidth="1"/>
    <col min="14" max="14" width="17.57421875" style="90" customWidth="1"/>
    <col min="15" max="15" width="16.57421875" style="90" customWidth="1"/>
    <col min="16" max="16" width="5.00390625" style="90" customWidth="1"/>
    <col min="17" max="17" width="81.28125" style="90" customWidth="1"/>
    <col min="18" max="18" width="9.140625" style="90" customWidth="1"/>
    <col min="19" max="19" width="16.57421875" style="102" customWidth="1"/>
    <col min="20" max="20" width="17.421875" style="90" customWidth="1"/>
    <col min="21" max="21" width="19.28125" style="90" customWidth="1"/>
    <col min="22" max="22" width="17.57421875" style="90" customWidth="1"/>
    <col min="23" max="23" width="16.57421875" style="90" customWidth="1"/>
    <col min="24" max="24" width="6.00390625" style="90" customWidth="1"/>
    <col min="25" max="25" width="84.7109375" style="90" customWidth="1"/>
    <col min="26" max="26" width="9.140625" style="90" customWidth="1"/>
    <col min="27" max="27" width="16.57421875" style="102" customWidth="1"/>
    <col min="28" max="28" width="17.421875" style="90" customWidth="1"/>
    <col min="29" max="29" width="19.28125" style="90" customWidth="1"/>
    <col min="30" max="30" width="17.57421875" style="90" customWidth="1"/>
    <col min="31" max="31" width="16.57421875" style="90" customWidth="1"/>
    <col min="32" max="32" width="4.140625" style="90" customWidth="1"/>
    <col min="33" max="33" width="88.7109375" style="90" customWidth="1"/>
    <col min="34" max="34" width="9.140625" style="90" customWidth="1"/>
    <col min="35" max="35" width="16.57421875" style="102" customWidth="1"/>
    <col min="36" max="36" width="17.421875" style="90" customWidth="1"/>
    <col min="37" max="37" width="19.28125" style="90" customWidth="1"/>
    <col min="38" max="38" width="17.57421875" style="90" customWidth="1"/>
    <col min="39" max="39" width="16.57421875" style="90" customWidth="1"/>
    <col min="40" max="16384" width="9.140625" style="90" customWidth="1"/>
  </cols>
  <sheetData>
    <row r="1" spans="1:39" ht="26.25" customHeight="1">
      <c r="A1" s="311" t="s">
        <v>199</v>
      </c>
      <c r="B1" s="312"/>
      <c r="C1" s="312"/>
      <c r="D1" s="312"/>
      <c r="E1" s="312"/>
      <c r="F1" s="312"/>
      <c r="G1" s="312"/>
      <c r="I1" s="311" t="s">
        <v>199</v>
      </c>
      <c r="J1" s="312"/>
      <c r="K1" s="312"/>
      <c r="L1" s="312"/>
      <c r="M1" s="312"/>
      <c r="N1" s="312"/>
      <c r="O1" s="312"/>
      <c r="Q1" s="311" t="s">
        <v>199</v>
      </c>
      <c r="R1" s="312"/>
      <c r="S1" s="312"/>
      <c r="T1" s="312"/>
      <c r="U1" s="312"/>
      <c r="V1" s="312"/>
      <c r="W1" s="312"/>
      <c r="Y1" s="311" t="s">
        <v>199</v>
      </c>
      <c r="Z1" s="312"/>
      <c r="AA1" s="312"/>
      <c r="AB1" s="312"/>
      <c r="AC1" s="312"/>
      <c r="AD1" s="312"/>
      <c r="AE1" s="312"/>
      <c r="AG1" s="311" t="s">
        <v>199</v>
      </c>
      <c r="AH1" s="312"/>
      <c r="AI1" s="312"/>
      <c r="AJ1" s="312"/>
      <c r="AK1" s="312"/>
      <c r="AL1" s="312"/>
      <c r="AM1" s="312"/>
    </row>
    <row r="2" spans="1:39" ht="24.75" customHeight="1">
      <c r="A2" s="29"/>
      <c r="B2" s="29"/>
      <c r="C2" s="30"/>
      <c r="D2" s="29"/>
      <c r="E2" s="29"/>
      <c r="F2" s="29"/>
      <c r="G2" s="29"/>
      <c r="I2" s="310" t="s">
        <v>97</v>
      </c>
      <c r="J2" s="310"/>
      <c r="K2" s="310"/>
      <c r="L2" s="310"/>
      <c r="M2" s="310"/>
      <c r="N2" s="310"/>
      <c r="O2" s="310"/>
      <c r="Q2" s="310" t="s">
        <v>98</v>
      </c>
      <c r="R2" s="310"/>
      <c r="S2" s="310"/>
      <c r="T2" s="310"/>
      <c r="U2" s="310"/>
      <c r="V2" s="310"/>
      <c r="W2" s="310"/>
      <c r="Y2" s="313" t="s">
        <v>99</v>
      </c>
      <c r="Z2" s="313"/>
      <c r="AA2" s="313"/>
      <c r="AB2" s="313"/>
      <c r="AC2" s="313"/>
      <c r="AD2" s="313"/>
      <c r="AE2" s="313"/>
      <c r="AG2" s="313" t="s">
        <v>265</v>
      </c>
      <c r="AH2" s="313"/>
      <c r="AI2" s="313"/>
      <c r="AJ2" s="313"/>
      <c r="AK2" s="313"/>
      <c r="AL2" s="313"/>
      <c r="AM2" s="313"/>
    </row>
    <row r="3" spans="1:39" ht="21" customHeight="1">
      <c r="A3" s="305" t="s">
        <v>8</v>
      </c>
      <c r="B3" s="305" t="s">
        <v>15</v>
      </c>
      <c r="C3" s="314" t="s">
        <v>327</v>
      </c>
      <c r="D3" s="314" t="s">
        <v>62</v>
      </c>
      <c r="E3" s="314"/>
      <c r="F3" s="314"/>
      <c r="G3" s="314"/>
      <c r="I3" s="305" t="s">
        <v>8</v>
      </c>
      <c r="J3" s="305" t="s">
        <v>15</v>
      </c>
      <c r="K3" s="305" t="str">
        <f>C3</f>
        <v>Код по бюджетной классификации Российской Федерации &lt;*&gt;</v>
      </c>
      <c r="L3" s="305" t="s">
        <v>62</v>
      </c>
      <c r="M3" s="305"/>
      <c r="N3" s="305"/>
      <c r="O3" s="305"/>
      <c r="Q3" s="305" t="s">
        <v>8</v>
      </c>
      <c r="R3" s="305" t="s">
        <v>15</v>
      </c>
      <c r="S3" s="305" t="str">
        <f>C3</f>
        <v>Код по бюджетной классификации Российской Федерации &lt;*&gt;</v>
      </c>
      <c r="T3" s="305" t="s">
        <v>62</v>
      </c>
      <c r="U3" s="305"/>
      <c r="V3" s="305"/>
      <c r="W3" s="305"/>
      <c r="Y3" s="305" t="s">
        <v>8</v>
      </c>
      <c r="Z3" s="305" t="s">
        <v>15</v>
      </c>
      <c r="AA3" s="305" t="str">
        <f>C3</f>
        <v>Код по бюджетной классификации Российской Федерации &lt;*&gt;</v>
      </c>
      <c r="AB3" s="305" t="s">
        <v>62</v>
      </c>
      <c r="AC3" s="305"/>
      <c r="AD3" s="305"/>
      <c r="AE3" s="305"/>
      <c r="AG3" s="305" t="s">
        <v>8</v>
      </c>
      <c r="AH3" s="305" t="s">
        <v>15</v>
      </c>
      <c r="AI3" s="305" t="str">
        <f>C3</f>
        <v>Код по бюджетной классификации Российской Федерации &lt;*&gt;</v>
      </c>
      <c r="AJ3" s="305" t="s">
        <v>62</v>
      </c>
      <c r="AK3" s="305"/>
      <c r="AL3" s="305"/>
      <c r="AM3" s="305"/>
    </row>
    <row r="4" spans="1:39" ht="128.25" customHeight="1">
      <c r="A4" s="305"/>
      <c r="B4" s="305"/>
      <c r="C4" s="314"/>
      <c r="D4" s="31" t="s">
        <v>486</v>
      </c>
      <c r="E4" s="31" t="s">
        <v>487</v>
      </c>
      <c r="F4" s="31" t="s">
        <v>488</v>
      </c>
      <c r="G4" s="31" t="s">
        <v>63</v>
      </c>
      <c r="I4" s="305"/>
      <c r="J4" s="305"/>
      <c r="K4" s="305"/>
      <c r="L4" s="31" t="str">
        <f>D4</f>
        <v>на 2023 г. (текущий финансовый год)</v>
      </c>
      <c r="M4" s="31" t="str">
        <f>E4</f>
        <v>на 2024 г.                 (1-ый год планового периода)</v>
      </c>
      <c r="N4" s="31" t="str">
        <f>F4</f>
        <v>на 2025 г.                   (2-ой год планового периода)</v>
      </c>
      <c r="O4" s="31" t="s">
        <v>63</v>
      </c>
      <c r="Q4" s="305"/>
      <c r="R4" s="305"/>
      <c r="S4" s="305"/>
      <c r="T4" s="31" t="str">
        <f>L4</f>
        <v>на 2023 г. (текущий финансовый год)</v>
      </c>
      <c r="U4" s="31" t="str">
        <f>M4</f>
        <v>на 2024 г.                 (1-ый год планового периода)</v>
      </c>
      <c r="V4" s="31" t="str">
        <f>N4</f>
        <v>на 2025 г.                   (2-ой год планового периода)</v>
      </c>
      <c r="W4" s="31" t="s">
        <v>63</v>
      </c>
      <c r="Y4" s="305"/>
      <c r="Z4" s="305"/>
      <c r="AA4" s="305"/>
      <c r="AB4" s="31" t="str">
        <f>T4</f>
        <v>на 2023 г. (текущий финансовый год)</v>
      </c>
      <c r="AC4" s="31" t="str">
        <f>U4</f>
        <v>на 2024 г.                 (1-ый год планового периода)</v>
      </c>
      <c r="AD4" s="31" t="str">
        <f>V4</f>
        <v>на 2025 г.                   (2-ой год планового периода)</v>
      </c>
      <c r="AE4" s="31" t="s">
        <v>63</v>
      </c>
      <c r="AG4" s="305"/>
      <c r="AH4" s="305"/>
      <c r="AI4" s="305"/>
      <c r="AJ4" s="31" t="str">
        <f>AB4</f>
        <v>на 2023 г. (текущий финансовый год)</v>
      </c>
      <c r="AK4" s="31" t="str">
        <f>AC4</f>
        <v>на 2024 г.                 (1-ый год планового периода)</v>
      </c>
      <c r="AL4" s="31" t="str">
        <f>AD4</f>
        <v>на 2025 г.                   (2-ой год планового периода)</v>
      </c>
      <c r="AM4" s="31" t="s">
        <v>63</v>
      </c>
    </row>
    <row r="5" spans="1:39" ht="15.75">
      <c r="A5" s="73">
        <v>1</v>
      </c>
      <c r="B5" s="73">
        <v>2</v>
      </c>
      <c r="C5" s="73">
        <v>3</v>
      </c>
      <c r="D5" s="73">
        <v>4</v>
      </c>
      <c r="E5" s="73">
        <v>5</v>
      </c>
      <c r="F5" s="73">
        <v>6</v>
      </c>
      <c r="G5" s="73">
        <v>7</v>
      </c>
      <c r="I5" s="73">
        <v>1</v>
      </c>
      <c r="J5" s="73">
        <v>2</v>
      </c>
      <c r="K5" s="73">
        <v>3</v>
      </c>
      <c r="L5" s="73">
        <v>4</v>
      </c>
      <c r="M5" s="73">
        <v>5</v>
      </c>
      <c r="N5" s="73">
        <v>6</v>
      </c>
      <c r="O5" s="73">
        <v>7</v>
      </c>
      <c r="Q5" s="73">
        <v>1</v>
      </c>
      <c r="R5" s="73">
        <v>2</v>
      </c>
      <c r="S5" s="73">
        <v>3</v>
      </c>
      <c r="T5" s="73">
        <v>4</v>
      </c>
      <c r="U5" s="73">
        <v>5</v>
      </c>
      <c r="V5" s="73">
        <v>6</v>
      </c>
      <c r="W5" s="73">
        <v>7</v>
      </c>
      <c r="Y5" s="73">
        <v>1</v>
      </c>
      <c r="Z5" s="73">
        <v>2</v>
      </c>
      <c r="AA5" s="73">
        <v>3</v>
      </c>
      <c r="AB5" s="73">
        <v>4</v>
      </c>
      <c r="AC5" s="73">
        <v>5</v>
      </c>
      <c r="AD5" s="73">
        <v>6</v>
      </c>
      <c r="AE5" s="73">
        <v>7</v>
      </c>
      <c r="AG5" s="73">
        <v>1</v>
      </c>
      <c r="AH5" s="73">
        <v>2</v>
      </c>
      <c r="AI5" s="73">
        <v>3</v>
      </c>
      <c r="AJ5" s="73">
        <v>4</v>
      </c>
      <c r="AK5" s="73">
        <v>5</v>
      </c>
      <c r="AL5" s="73">
        <v>6</v>
      </c>
      <c r="AM5" s="73">
        <v>7</v>
      </c>
    </row>
    <row r="6" spans="1:41" s="99" customFormat="1" ht="27" customHeight="1">
      <c r="A6" s="91" t="s">
        <v>483</v>
      </c>
      <c r="B6" s="103" t="s">
        <v>22</v>
      </c>
      <c r="C6" s="31" t="s">
        <v>203</v>
      </c>
      <c r="D6" s="98">
        <f>L6+T6+AB6+AJ6</f>
        <v>349752.52</v>
      </c>
      <c r="E6" s="98">
        <f>M6+U6+AC6+AK6</f>
        <v>0</v>
      </c>
      <c r="F6" s="98">
        <f>N6+V6+AD6+AL6</f>
        <v>0</v>
      </c>
      <c r="G6" s="98">
        <f>O6+W6+AE6+AM6</f>
        <v>0</v>
      </c>
      <c r="I6" s="91" t="s">
        <v>483</v>
      </c>
      <c r="J6" s="103" t="s">
        <v>22</v>
      </c>
      <c r="K6" s="31" t="s">
        <v>203</v>
      </c>
      <c r="L6" s="98">
        <v>330306.25</v>
      </c>
      <c r="M6" s="98"/>
      <c r="N6" s="98"/>
      <c r="O6" s="98"/>
      <c r="Q6" s="91" t="s">
        <v>483</v>
      </c>
      <c r="R6" s="103" t="s">
        <v>22</v>
      </c>
      <c r="S6" s="31" t="s">
        <v>203</v>
      </c>
      <c r="T6" s="98"/>
      <c r="U6" s="98"/>
      <c r="V6" s="98"/>
      <c r="W6" s="98"/>
      <c r="Y6" s="91" t="s">
        <v>483</v>
      </c>
      <c r="Z6" s="103" t="s">
        <v>22</v>
      </c>
      <c r="AA6" s="31" t="s">
        <v>203</v>
      </c>
      <c r="AB6" s="98">
        <f>'Иные цели'!D6</f>
        <v>5098.58</v>
      </c>
      <c r="AC6" s="98"/>
      <c r="AD6" s="98"/>
      <c r="AE6" s="98"/>
      <c r="AG6" s="91" t="s">
        <v>483</v>
      </c>
      <c r="AH6" s="103" t="s">
        <v>22</v>
      </c>
      <c r="AI6" s="31" t="s">
        <v>203</v>
      </c>
      <c r="AJ6" s="98">
        <f>3214.54+11133.15</f>
        <v>14347.689999999999</v>
      </c>
      <c r="AK6" s="98"/>
      <c r="AL6" s="98"/>
      <c r="AM6" s="98"/>
      <c r="AO6" s="104"/>
    </row>
    <row r="7" spans="1:39" s="99" customFormat="1" ht="39" customHeight="1">
      <c r="A7" s="28" t="s">
        <v>218</v>
      </c>
      <c r="B7" s="103" t="s">
        <v>64</v>
      </c>
      <c r="C7" s="31" t="s">
        <v>203</v>
      </c>
      <c r="D7" s="98">
        <f>L7+T7+AB7+AJ7</f>
        <v>11133.15</v>
      </c>
      <c r="E7" s="98"/>
      <c r="F7" s="98"/>
      <c r="G7" s="98"/>
      <c r="I7" s="28" t="s">
        <v>218</v>
      </c>
      <c r="J7" s="103" t="s">
        <v>64</v>
      </c>
      <c r="K7" s="31" t="s">
        <v>203</v>
      </c>
      <c r="L7" s="98"/>
      <c r="M7" s="98"/>
      <c r="N7" s="98"/>
      <c r="O7" s="31"/>
      <c r="Q7" s="28" t="s">
        <v>218</v>
      </c>
      <c r="R7" s="103" t="s">
        <v>64</v>
      </c>
      <c r="S7" s="31" t="s">
        <v>203</v>
      </c>
      <c r="T7" s="98"/>
      <c r="U7" s="98"/>
      <c r="V7" s="98"/>
      <c r="W7" s="31"/>
      <c r="Y7" s="28" t="s">
        <v>218</v>
      </c>
      <c r="Z7" s="103" t="s">
        <v>64</v>
      </c>
      <c r="AA7" s="31" t="s">
        <v>203</v>
      </c>
      <c r="AB7" s="98"/>
      <c r="AC7" s="98"/>
      <c r="AD7" s="98"/>
      <c r="AE7" s="31"/>
      <c r="AG7" s="28" t="s">
        <v>218</v>
      </c>
      <c r="AH7" s="103" t="s">
        <v>64</v>
      </c>
      <c r="AI7" s="31" t="s">
        <v>203</v>
      </c>
      <c r="AJ7" s="98">
        <v>11133.15</v>
      </c>
      <c r="AK7" s="98"/>
      <c r="AL7" s="98"/>
      <c r="AM7" s="31"/>
    </row>
    <row r="8" spans="1:39" s="99" customFormat="1" ht="21.75" customHeight="1">
      <c r="A8" s="91" t="s">
        <v>484</v>
      </c>
      <c r="B8" s="103" t="s">
        <v>93</v>
      </c>
      <c r="C8" s="31" t="s">
        <v>203</v>
      </c>
      <c r="D8" s="98">
        <f>L8+T8+AB8+AJ8</f>
        <v>-1.8189894035458565E-11</v>
      </c>
      <c r="E8" s="98">
        <f>E6+E10-E41-E90</f>
        <v>0</v>
      </c>
      <c r="F8" s="98">
        <f>F6+F10-F41-F90</f>
        <v>0</v>
      </c>
      <c r="G8" s="98">
        <f>G6+G10-G41-G90</f>
        <v>0</v>
      </c>
      <c r="I8" s="91" t="s">
        <v>484</v>
      </c>
      <c r="J8" s="103" t="s">
        <v>93</v>
      </c>
      <c r="K8" s="31" t="s">
        <v>203</v>
      </c>
      <c r="L8" s="98">
        <f>L6+L10-L41-L90</f>
        <v>0</v>
      </c>
      <c r="M8" s="98">
        <f>M6+M10-M41-M90</f>
        <v>0</v>
      </c>
      <c r="N8" s="98">
        <f>N6+N10-N41-N90</f>
        <v>0</v>
      </c>
      <c r="O8" s="98">
        <f>O6+O10-O41-O90</f>
        <v>0</v>
      </c>
      <c r="Q8" s="91" t="s">
        <v>484</v>
      </c>
      <c r="R8" s="103" t="s">
        <v>93</v>
      </c>
      <c r="S8" s="31" t="s">
        <v>203</v>
      </c>
      <c r="T8" s="98">
        <f>T6+T10-T41-T90</f>
        <v>0</v>
      </c>
      <c r="U8" s="98">
        <f>U6+U10-U41-U90</f>
        <v>0</v>
      </c>
      <c r="V8" s="98">
        <f>V6+V10-V41-V90</f>
        <v>0</v>
      </c>
      <c r="W8" s="98">
        <f>W6+W10-W41-W90</f>
        <v>0</v>
      </c>
      <c r="Y8" s="91" t="s">
        <v>484</v>
      </c>
      <c r="Z8" s="103" t="s">
        <v>93</v>
      </c>
      <c r="AA8" s="31" t="s">
        <v>203</v>
      </c>
      <c r="AB8" s="98">
        <f>AB6+AB10-AB41-AB90</f>
        <v>7.457856554538012E-11</v>
      </c>
      <c r="AC8" s="98">
        <f>AC6+AC10-AC41-AC90</f>
        <v>0</v>
      </c>
      <c r="AD8" s="98">
        <f>AD6+AD10-AD41-AD90</f>
        <v>0</v>
      </c>
      <c r="AE8" s="98">
        <f>AE6+AE10-AE41-AE90</f>
        <v>0</v>
      </c>
      <c r="AG8" s="91" t="s">
        <v>484</v>
      </c>
      <c r="AH8" s="103" t="s">
        <v>93</v>
      </c>
      <c r="AI8" s="31" t="s">
        <v>203</v>
      </c>
      <c r="AJ8" s="98">
        <f>AJ6+AJ10-AJ41-AJ90</f>
        <v>-9.276845958083868E-11</v>
      </c>
      <c r="AK8" s="98">
        <f>AK6+AK10-AK41-AK90</f>
        <v>0</v>
      </c>
      <c r="AL8" s="98">
        <f>AL6+AL10-AL41-AL90</f>
        <v>0</v>
      </c>
      <c r="AM8" s="98">
        <f>AM6+AM10-AM41-AM90</f>
        <v>0</v>
      </c>
    </row>
    <row r="9" spans="1:39" ht="34.5" customHeight="1">
      <c r="A9" s="28" t="s">
        <v>218</v>
      </c>
      <c r="B9" s="32" t="s">
        <v>94</v>
      </c>
      <c r="C9" s="73" t="s">
        <v>203</v>
      </c>
      <c r="D9" s="40"/>
      <c r="E9" s="40"/>
      <c r="F9" s="40"/>
      <c r="G9" s="73"/>
      <c r="I9" s="28" t="s">
        <v>218</v>
      </c>
      <c r="J9" s="32" t="s">
        <v>94</v>
      </c>
      <c r="K9" s="73" t="s">
        <v>203</v>
      </c>
      <c r="L9" s="40"/>
      <c r="M9" s="40"/>
      <c r="N9" s="40"/>
      <c r="O9" s="73"/>
      <c r="Q9" s="28" t="s">
        <v>218</v>
      </c>
      <c r="R9" s="32" t="s">
        <v>94</v>
      </c>
      <c r="S9" s="73" t="s">
        <v>203</v>
      </c>
      <c r="T9" s="40"/>
      <c r="U9" s="40"/>
      <c r="V9" s="40"/>
      <c r="W9" s="73"/>
      <c r="Y9" s="28" t="s">
        <v>218</v>
      </c>
      <c r="Z9" s="32" t="s">
        <v>94</v>
      </c>
      <c r="AA9" s="73" t="s">
        <v>203</v>
      </c>
      <c r="AB9" s="40"/>
      <c r="AC9" s="40"/>
      <c r="AD9" s="40"/>
      <c r="AE9" s="73"/>
      <c r="AG9" s="28" t="s">
        <v>218</v>
      </c>
      <c r="AH9" s="32" t="s">
        <v>94</v>
      </c>
      <c r="AI9" s="73" t="s">
        <v>203</v>
      </c>
      <c r="AJ9" s="40"/>
      <c r="AK9" s="40"/>
      <c r="AL9" s="40"/>
      <c r="AM9" s="73"/>
    </row>
    <row r="10" spans="1:39" ht="27" customHeight="1">
      <c r="A10" s="65" t="s">
        <v>200</v>
      </c>
      <c r="B10" s="73">
        <v>1000</v>
      </c>
      <c r="C10" s="73" t="s">
        <v>203</v>
      </c>
      <c r="D10" s="40">
        <f>D11+D17+D22+D25+D29+D34+D37</f>
        <v>45904704.260000005</v>
      </c>
      <c r="E10" s="40">
        <f>E11+E17+E22+E25+E29+E34+E37</f>
        <v>37533400</v>
      </c>
      <c r="F10" s="40">
        <f>F11+F17+F22+F25+F29+F34+F37</f>
        <v>37636200</v>
      </c>
      <c r="G10" s="40">
        <f>G11+G17+G22+G25+G29+G34+G37</f>
        <v>0</v>
      </c>
      <c r="I10" s="65" t="s">
        <v>200</v>
      </c>
      <c r="J10" s="73">
        <v>1000</v>
      </c>
      <c r="K10" s="73" t="s">
        <v>203</v>
      </c>
      <c r="L10" s="40">
        <f>L11+L17+L22+L25+L29+L34+L37</f>
        <v>8642100</v>
      </c>
      <c r="M10" s="40">
        <f>M11+M17+M22+M25+M29+M34+M37</f>
        <v>9780400</v>
      </c>
      <c r="N10" s="40">
        <f>N11+N17+N22+N25+N29+N34+N37</f>
        <v>9894900</v>
      </c>
      <c r="O10" s="40">
        <f>O11+O17+O22+O25+O29+O34+O37</f>
        <v>0</v>
      </c>
      <c r="Q10" s="65" t="s">
        <v>200</v>
      </c>
      <c r="R10" s="73">
        <v>1000</v>
      </c>
      <c r="S10" s="73" t="s">
        <v>203</v>
      </c>
      <c r="T10" s="40">
        <f>T11+T17+T22+T25+T29+T34+T37</f>
        <v>24955000</v>
      </c>
      <c r="U10" s="40">
        <f>U11+U17+U22+U25+U29+U34+U37</f>
        <v>24193400</v>
      </c>
      <c r="V10" s="40">
        <f>V11+V17+V22+V25+V29+V34+V37</f>
        <v>24181700</v>
      </c>
      <c r="W10" s="40">
        <f>W11+W17+W22+W25+W29+W34+W37</f>
        <v>0</v>
      </c>
      <c r="Y10" s="65" t="s">
        <v>200</v>
      </c>
      <c r="Z10" s="73">
        <v>1000</v>
      </c>
      <c r="AA10" s="73" t="s">
        <v>203</v>
      </c>
      <c r="AB10" s="40">
        <f>AB11+AB17+AB22+AB25+AB29+AB34+AB37</f>
        <v>8439610.8</v>
      </c>
      <c r="AC10" s="40">
        <f>AC11+AC17+AC22+AC25+AC29+AC34+AC37</f>
        <v>0</v>
      </c>
      <c r="AD10" s="40">
        <f>AD11+AD17+AD22+AD25+AD29+AD34+AD37</f>
        <v>0</v>
      </c>
      <c r="AE10" s="40">
        <f>AE11+AE17+AE22+AE25+AE29+AE34+AE37</f>
        <v>0</v>
      </c>
      <c r="AG10" s="65" t="s">
        <v>200</v>
      </c>
      <c r="AH10" s="73">
        <v>1000</v>
      </c>
      <c r="AI10" s="73" t="s">
        <v>203</v>
      </c>
      <c r="AJ10" s="40">
        <f>AJ11+AJ17+AJ22+AJ25+AJ29+AJ34+AJ37</f>
        <v>3867993.46</v>
      </c>
      <c r="AK10" s="40">
        <f>AK11+AK17+AK22+AK25+AK29+AK34+AK37</f>
        <v>3559600</v>
      </c>
      <c r="AL10" s="40">
        <f>AL11+AL17+AL22+AL25+AL29+AL34+AL37</f>
        <v>3559600</v>
      </c>
      <c r="AM10" s="40">
        <f>AM11+AM17+AM22+AM25+AM29+AM34+AM37</f>
        <v>0</v>
      </c>
    </row>
    <row r="11" spans="1:39" ht="32.25" customHeight="1">
      <c r="A11" s="28" t="s">
        <v>202</v>
      </c>
      <c r="B11" s="73">
        <v>1100</v>
      </c>
      <c r="C11" s="73">
        <v>120</v>
      </c>
      <c r="D11" s="40">
        <f>D12+D13+D14+D15+D16</f>
        <v>0</v>
      </c>
      <c r="E11" s="40">
        <f>E12+E13+E14+E15+E16</f>
        <v>0</v>
      </c>
      <c r="F11" s="40">
        <f>F12+F13+F14+F15+F16</f>
        <v>0</v>
      </c>
      <c r="G11" s="40">
        <f>G12+G13+G14+G15+G16</f>
        <v>0</v>
      </c>
      <c r="I11" s="28" t="s">
        <v>202</v>
      </c>
      <c r="J11" s="73">
        <v>1100</v>
      </c>
      <c r="K11" s="73">
        <v>120</v>
      </c>
      <c r="L11" s="40">
        <f>L12+L13+L14+L15+L16</f>
        <v>0</v>
      </c>
      <c r="M11" s="40">
        <f>M12+M13+M14+M15+M16</f>
        <v>0</v>
      </c>
      <c r="N11" s="40">
        <f>N12+N13+N14+N15+N16</f>
        <v>0</v>
      </c>
      <c r="O11" s="40">
        <f>O12+O13+O14+O15+O16</f>
        <v>0</v>
      </c>
      <c r="Q11" s="28" t="s">
        <v>202</v>
      </c>
      <c r="R11" s="73">
        <v>1100</v>
      </c>
      <c r="S11" s="73">
        <v>120</v>
      </c>
      <c r="T11" s="40">
        <f>T12+T13+T14+T15+T16</f>
        <v>0</v>
      </c>
      <c r="U11" s="40">
        <f>U12+U13+U14+U15+U16</f>
        <v>0</v>
      </c>
      <c r="V11" s="40">
        <f>V12+V13+V14+V15+V16</f>
        <v>0</v>
      </c>
      <c r="W11" s="40">
        <f>W12+W13+W14+W15+W16</f>
        <v>0</v>
      </c>
      <c r="Y11" s="28" t="s">
        <v>202</v>
      </c>
      <c r="Z11" s="73">
        <v>1100</v>
      </c>
      <c r="AA11" s="73">
        <v>120</v>
      </c>
      <c r="AB11" s="40">
        <f>AB12+AB13+AB14+AB15+AB16</f>
        <v>0</v>
      </c>
      <c r="AC11" s="40">
        <f>AC12+AC13+AC14+AC15+AC16</f>
        <v>0</v>
      </c>
      <c r="AD11" s="40">
        <f>AD12+AD13+AD14+AD15+AD16</f>
        <v>0</v>
      </c>
      <c r="AE11" s="40">
        <f>AE12+AE13+AE14+AE15+AE16</f>
        <v>0</v>
      </c>
      <c r="AG11" s="28" t="s">
        <v>202</v>
      </c>
      <c r="AH11" s="73">
        <v>1100</v>
      </c>
      <c r="AI11" s="73">
        <v>120</v>
      </c>
      <c r="AJ11" s="40">
        <f>AJ12+AJ13+AJ14+AJ15+AJ16</f>
        <v>0</v>
      </c>
      <c r="AK11" s="40">
        <f>AK12+AK13+AK14+AK15+AK16</f>
        <v>0</v>
      </c>
      <c r="AL11" s="40">
        <f>AL12+AL13+AL14+AL15+AL16</f>
        <v>0</v>
      </c>
      <c r="AM11" s="40">
        <f>AM12+AM13+AM14+AM15+AM16</f>
        <v>0</v>
      </c>
    </row>
    <row r="12" spans="1:39" ht="32.25" customHeight="1">
      <c r="A12" s="36" t="s">
        <v>204</v>
      </c>
      <c r="B12" s="73">
        <v>1110</v>
      </c>
      <c r="C12" s="73">
        <v>120</v>
      </c>
      <c r="D12" s="40">
        <f aca="true" t="shared" si="0" ref="D12:E14">L12+T12+AB12+AJ12</f>
        <v>0</v>
      </c>
      <c r="E12" s="40">
        <f t="shared" si="0"/>
        <v>0</v>
      </c>
      <c r="F12" s="40">
        <f aca="true" t="shared" si="1" ref="F12:G16">N12+V12+AD12+AL12</f>
        <v>0</v>
      </c>
      <c r="G12" s="40">
        <f t="shared" si="1"/>
        <v>0</v>
      </c>
      <c r="I12" s="36" t="s">
        <v>204</v>
      </c>
      <c r="J12" s="73">
        <v>1110</v>
      </c>
      <c r="K12" s="73">
        <v>120</v>
      </c>
      <c r="L12" s="40"/>
      <c r="M12" s="40"/>
      <c r="N12" s="40"/>
      <c r="O12" s="40"/>
      <c r="Q12" s="36" t="s">
        <v>204</v>
      </c>
      <c r="R12" s="73">
        <v>1110</v>
      </c>
      <c r="S12" s="73">
        <v>120</v>
      </c>
      <c r="T12" s="40"/>
      <c r="U12" s="40"/>
      <c r="V12" s="40"/>
      <c r="W12" s="40"/>
      <c r="Y12" s="36" t="s">
        <v>204</v>
      </c>
      <c r="Z12" s="73">
        <v>1110</v>
      </c>
      <c r="AA12" s="73">
        <v>120</v>
      </c>
      <c r="AB12" s="40"/>
      <c r="AC12" s="40"/>
      <c r="AD12" s="40"/>
      <c r="AE12" s="40"/>
      <c r="AG12" s="36" t="s">
        <v>204</v>
      </c>
      <c r="AH12" s="73">
        <v>1110</v>
      </c>
      <c r="AI12" s="73">
        <v>120</v>
      </c>
      <c r="AJ12" s="40"/>
      <c r="AK12" s="40"/>
      <c r="AL12" s="40"/>
      <c r="AM12" s="40"/>
    </row>
    <row r="13" spans="1:39" ht="32.25" customHeight="1">
      <c r="A13" s="36" t="s">
        <v>101</v>
      </c>
      <c r="B13" s="73">
        <v>1120</v>
      </c>
      <c r="C13" s="73">
        <v>120</v>
      </c>
      <c r="D13" s="40">
        <f t="shared" si="0"/>
        <v>0</v>
      </c>
      <c r="E13" s="40">
        <f t="shared" si="0"/>
        <v>0</v>
      </c>
      <c r="F13" s="40">
        <f t="shared" si="1"/>
        <v>0</v>
      </c>
      <c r="G13" s="40">
        <f t="shared" si="1"/>
        <v>0</v>
      </c>
      <c r="I13" s="36" t="s">
        <v>101</v>
      </c>
      <c r="J13" s="73">
        <v>1120</v>
      </c>
      <c r="K13" s="73">
        <v>120</v>
      </c>
      <c r="L13" s="40"/>
      <c r="M13" s="40"/>
      <c r="N13" s="40"/>
      <c r="O13" s="73"/>
      <c r="Q13" s="36" t="s">
        <v>101</v>
      </c>
      <c r="R13" s="73">
        <v>1120</v>
      </c>
      <c r="S13" s="73">
        <v>120</v>
      </c>
      <c r="T13" s="40"/>
      <c r="U13" s="40"/>
      <c r="V13" s="40"/>
      <c r="W13" s="73"/>
      <c r="Y13" s="36" t="s">
        <v>101</v>
      </c>
      <c r="Z13" s="73">
        <v>1120</v>
      </c>
      <c r="AA13" s="73">
        <v>120</v>
      </c>
      <c r="AB13" s="40"/>
      <c r="AC13" s="40"/>
      <c r="AD13" s="40"/>
      <c r="AE13" s="73"/>
      <c r="AG13" s="36" t="s">
        <v>101</v>
      </c>
      <c r="AH13" s="73">
        <v>1120</v>
      </c>
      <c r="AI13" s="73">
        <v>120</v>
      </c>
      <c r="AJ13" s="40"/>
      <c r="AK13" s="40"/>
      <c r="AL13" s="40"/>
      <c r="AM13" s="73"/>
    </row>
    <row r="14" spans="1:39" ht="32.25" customHeight="1">
      <c r="A14" s="36" t="s">
        <v>100</v>
      </c>
      <c r="B14" s="73">
        <v>1130</v>
      </c>
      <c r="C14" s="73">
        <v>120</v>
      </c>
      <c r="D14" s="40">
        <f t="shared" si="0"/>
        <v>0</v>
      </c>
      <c r="E14" s="40">
        <f t="shared" si="0"/>
        <v>0</v>
      </c>
      <c r="F14" s="40">
        <f t="shared" si="1"/>
        <v>0</v>
      </c>
      <c r="G14" s="40">
        <f t="shared" si="1"/>
        <v>0</v>
      </c>
      <c r="I14" s="36" t="s">
        <v>100</v>
      </c>
      <c r="J14" s="73">
        <v>1130</v>
      </c>
      <c r="K14" s="73">
        <v>120</v>
      </c>
      <c r="L14" s="40"/>
      <c r="M14" s="40"/>
      <c r="N14" s="40"/>
      <c r="O14" s="73"/>
      <c r="Q14" s="36" t="s">
        <v>100</v>
      </c>
      <c r="R14" s="73">
        <v>1130</v>
      </c>
      <c r="S14" s="73">
        <v>120</v>
      </c>
      <c r="T14" s="40"/>
      <c r="U14" s="40"/>
      <c r="V14" s="40"/>
      <c r="W14" s="73"/>
      <c r="Y14" s="36" t="s">
        <v>100</v>
      </c>
      <c r="Z14" s="73">
        <v>1130</v>
      </c>
      <c r="AA14" s="73">
        <v>120</v>
      </c>
      <c r="AB14" s="40"/>
      <c r="AC14" s="40"/>
      <c r="AD14" s="40"/>
      <c r="AE14" s="73"/>
      <c r="AG14" s="36" t="s">
        <v>100</v>
      </c>
      <c r="AH14" s="73">
        <v>1130</v>
      </c>
      <c r="AI14" s="73">
        <v>120</v>
      </c>
      <c r="AJ14" s="40"/>
      <c r="AK14" s="40"/>
      <c r="AL14" s="40"/>
      <c r="AM14" s="73"/>
    </row>
    <row r="15" spans="1:39" ht="32.25" customHeight="1" hidden="1">
      <c r="A15" s="37" t="s">
        <v>65</v>
      </c>
      <c r="B15" s="73">
        <v>1140</v>
      </c>
      <c r="C15" s="73">
        <v>120</v>
      </c>
      <c r="D15" s="40">
        <f aca="true" t="shared" si="2" ref="D15:D36">L15+T15+AB15+AJ15</f>
        <v>0</v>
      </c>
      <c r="E15" s="40">
        <f>M15+U15+AC15+AK15</f>
        <v>0</v>
      </c>
      <c r="F15" s="40">
        <f t="shared" si="1"/>
        <v>0</v>
      </c>
      <c r="G15" s="40">
        <f t="shared" si="1"/>
        <v>0</v>
      </c>
      <c r="I15" s="37" t="s">
        <v>65</v>
      </c>
      <c r="J15" s="73">
        <v>1140</v>
      </c>
      <c r="K15" s="73">
        <v>120</v>
      </c>
      <c r="L15" s="40"/>
      <c r="M15" s="40"/>
      <c r="N15" s="40"/>
      <c r="O15" s="73"/>
      <c r="Q15" s="37" t="s">
        <v>65</v>
      </c>
      <c r="R15" s="73">
        <v>1140</v>
      </c>
      <c r="S15" s="73">
        <v>120</v>
      </c>
      <c r="T15" s="40"/>
      <c r="U15" s="40"/>
      <c r="V15" s="40"/>
      <c r="W15" s="73"/>
      <c r="Y15" s="37" t="s">
        <v>65</v>
      </c>
      <c r="Z15" s="73">
        <v>1140</v>
      </c>
      <c r="AA15" s="73">
        <v>120</v>
      </c>
      <c r="AB15" s="40"/>
      <c r="AC15" s="40"/>
      <c r="AD15" s="40"/>
      <c r="AE15" s="73"/>
      <c r="AG15" s="37" t="s">
        <v>65</v>
      </c>
      <c r="AH15" s="73">
        <v>1140</v>
      </c>
      <c r="AI15" s="73">
        <v>120</v>
      </c>
      <c r="AJ15" s="40"/>
      <c r="AK15" s="40"/>
      <c r="AL15" s="40"/>
      <c r="AM15" s="73"/>
    </row>
    <row r="16" spans="1:39" ht="32.25" customHeight="1" hidden="1">
      <c r="A16" s="37" t="s">
        <v>102</v>
      </c>
      <c r="B16" s="73">
        <v>1150</v>
      </c>
      <c r="C16" s="73">
        <v>120</v>
      </c>
      <c r="D16" s="40">
        <f t="shared" si="2"/>
        <v>0</v>
      </c>
      <c r="E16" s="40">
        <f>M16+U16+AC16+AK16</f>
        <v>0</v>
      </c>
      <c r="F16" s="40">
        <f t="shared" si="1"/>
        <v>0</v>
      </c>
      <c r="G16" s="40">
        <f t="shared" si="1"/>
        <v>0</v>
      </c>
      <c r="I16" s="37" t="s">
        <v>102</v>
      </c>
      <c r="J16" s="73">
        <v>1150</v>
      </c>
      <c r="K16" s="73">
        <v>120</v>
      </c>
      <c r="L16" s="40"/>
      <c r="M16" s="40"/>
      <c r="N16" s="40"/>
      <c r="O16" s="73"/>
      <c r="Q16" s="37" t="s">
        <v>102</v>
      </c>
      <c r="R16" s="73">
        <v>1150</v>
      </c>
      <c r="S16" s="73">
        <v>120</v>
      </c>
      <c r="T16" s="40"/>
      <c r="U16" s="40"/>
      <c r="V16" s="40"/>
      <c r="W16" s="73"/>
      <c r="Y16" s="37" t="s">
        <v>102</v>
      </c>
      <c r="Z16" s="73">
        <v>1150</v>
      </c>
      <c r="AA16" s="73">
        <v>120</v>
      </c>
      <c r="AB16" s="40"/>
      <c r="AC16" s="40"/>
      <c r="AD16" s="40"/>
      <c r="AE16" s="73"/>
      <c r="AG16" s="37" t="s">
        <v>102</v>
      </c>
      <c r="AH16" s="73">
        <v>1150</v>
      </c>
      <c r="AI16" s="73">
        <v>120</v>
      </c>
      <c r="AJ16" s="40"/>
      <c r="AK16" s="40"/>
      <c r="AL16" s="40"/>
      <c r="AM16" s="73"/>
    </row>
    <row r="17" spans="1:39" ht="21.75" customHeight="1">
      <c r="A17" s="28" t="s">
        <v>201</v>
      </c>
      <c r="B17" s="92">
        <v>1200</v>
      </c>
      <c r="C17" s="73">
        <v>130</v>
      </c>
      <c r="D17" s="40">
        <f>D18+D19+D20+D21</f>
        <v>37465093.46</v>
      </c>
      <c r="E17" s="40">
        <f>E18+E19+E20+E21</f>
        <v>37533400</v>
      </c>
      <c r="F17" s="40">
        <f>F18+F19+F20+F21</f>
        <v>37636200</v>
      </c>
      <c r="G17" s="40">
        <f>G18+G19+G20+G21</f>
        <v>0</v>
      </c>
      <c r="I17" s="28" t="s">
        <v>201</v>
      </c>
      <c r="J17" s="92">
        <v>1200</v>
      </c>
      <c r="K17" s="73">
        <v>130</v>
      </c>
      <c r="L17" s="40">
        <f>L18+L19+L20+L21</f>
        <v>8642100</v>
      </c>
      <c r="M17" s="40">
        <f>M18+M19+M20+M21</f>
        <v>9780400</v>
      </c>
      <c r="N17" s="40">
        <f>N18+N19+N20+N21</f>
        <v>9894900</v>
      </c>
      <c r="O17" s="40">
        <f>O18+O19+O20+O21</f>
        <v>0</v>
      </c>
      <c r="Q17" s="28" t="s">
        <v>201</v>
      </c>
      <c r="R17" s="92">
        <v>1200</v>
      </c>
      <c r="S17" s="73">
        <v>130</v>
      </c>
      <c r="T17" s="40">
        <f>T18+T19+T20+T21</f>
        <v>24955000</v>
      </c>
      <c r="U17" s="40">
        <f>U18+U19+U20+U21</f>
        <v>24193400</v>
      </c>
      <c r="V17" s="40">
        <f>V18+V19+V20+V21</f>
        <v>24181700</v>
      </c>
      <c r="W17" s="40">
        <f>W18+W19+W20+W21</f>
        <v>0</v>
      </c>
      <c r="Y17" s="28" t="s">
        <v>201</v>
      </c>
      <c r="Z17" s="92">
        <v>1200</v>
      </c>
      <c r="AA17" s="73">
        <v>130</v>
      </c>
      <c r="AB17" s="40">
        <f>AB18+AB19+AB20+AB21</f>
        <v>0</v>
      </c>
      <c r="AC17" s="40">
        <f>AC18+AC19+AC20+AC21</f>
        <v>0</v>
      </c>
      <c r="AD17" s="40">
        <f>AD18+AD19+AD20+AD21</f>
        <v>0</v>
      </c>
      <c r="AE17" s="40">
        <f>AE18+AE19+AE20+AE21</f>
        <v>0</v>
      </c>
      <c r="AG17" s="28" t="s">
        <v>201</v>
      </c>
      <c r="AH17" s="92">
        <v>1200</v>
      </c>
      <c r="AI17" s="73">
        <v>130</v>
      </c>
      <c r="AJ17" s="40">
        <f>AJ18+AJ19+AJ20+AJ21</f>
        <v>3867993.46</v>
      </c>
      <c r="AK17" s="40">
        <f>AK18+AK19+AK20+AK21</f>
        <v>3559600</v>
      </c>
      <c r="AL17" s="40">
        <f>AL18+AL19+AL20+AL21</f>
        <v>3559600</v>
      </c>
      <c r="AM17" s="40">
        <f>AM18+AM19+AM20+AM21</f>
        <v>0</v>
      </c>
    </row>
    <row r="18" spans="1:39" ht="48.75" customHeight="1">
      <c r="A18" s="36" t="s">
        <v>205</v>
      </c>
      <c r="B18" s="73">
        <v>1210</v>
      </c>
      <c r="C18" s="26">
        <v>130</v>
      </c>
      <c r="D18" s="40">
        <f>L18+T18+AB18+AJ18</f>
        <v>33597100</v>
      </c>
      <c r="E18" s="40">
        <f aca="true" t="shared" si="3" ref="E18:G21">M18+U18+AC18+AK18</f>
        <v>33973800</v>
      </c>
      <c r="F18" s="40">
        <f t="shared" si="3"/>
        <v>34076600</v>
      </c>
      <c r="G18" s="40">
        <f t="shared" si="3"/>
        <v>0</v>
      </c>
      <c r="I18" s="36" t="s">
        <v>205</v>
      </c>
      <c r="J18" s="73">
        <v>1210</v>
      </c>
      <c r="K18" s="26">
        <v>130</v>
      </c>
      <c r="L18" s="40">
        <f>L41-L6</f>
        <v>8642100</v>
      </c>
      <c r="M18" s="40">
        <f>M41-M6</f>
        <v>9780400</v>
      </c>
      <c r="N18" s="40">
        <f>N41-N6</f>
        <v>9894900</v>
      </c>
      <c r="O18" s="40">
        <f>O41</f>
        <v>0</v>
      </c>
      <c r="Q18" s="36" t="s">
        <v>205</v>
      </c>
      <c r="R18" s="73">
        <v>1210</v>
      </c>
      <c r="S18" s="26">
        <v>130</v>
      </c>
      <c r="T18" s="40">
        <f>T41-T6</f>
        <v>24955000</v>
      </c>
      <c r="U18" s="40">
        <f>U41-U6</f>
        <v>24193400</v>
      </c>
      <c r="V18" s="40">
        <f>V41-V6</f>
        <v>24181700</v>
      </c>
      <c r="W18" s="40">
        <f>W41</f>
        <v>0</v>
      </c>
      <c r="Y18" s="36" t="s">
        <v>205</v>
      </c>
      <c r="Z18" s="73">
        <v>1210</v>
      </c>
      <c r="AA18" s="26">
        <v>130</v>
      </c>
      <c r="AB18" s="40"/>
      <c r="AC18" s="40"/>
      <c r="AD18" s="40"/>
      <c r="AE18" s="73"/>
      <c r="AG18" s="36" t="s">
        <v>205</v>
      </c>
      <c r="AH18" s="73">
        <v>1210</v>
      </c>
      <c r="AI18" s="26">
        <v>130</v>
      </c>
      <c r="AJ18" s="40"/>
      <c r="AK18" s="40"/>
      <c r="AL18" s="40"/>
      <c r="AM18" s="73"/>
    </row>
    <row r="19" spans="1:39" ht="45" customHeight="1">
      <c r="A19" s="36" t="s">
        <v>103</v>
      </c>
      <c r="B19" s="73">
        <v>1220</v>
      </c>
      <c r="C19" s="73">
        <v>130</v>
      </c>
      <c r="D19" s="40">
        <f>L19+T19+AB19+AJ19</f>
        <v>3867993.46</v>
      </c>
      <c r="E19" s="40">
        <f t="shared" si="3"/>
        <v>3559600</v>
      </c>
      <c r="F19" s="40">
        <f t="shared" si="3"/>
        <v>3559600</v>
      </c>
      <c r="G19" s="40">
        <f t="shared" si="3"/>
        <v>0</v>
      </c>
      <c r="I19" s="36" t="s">
        <v>103</v>
      </c>
      <c r="J19" s="73">
        <v>1220</v>
      </c>
      <c r="K19" s="73">
        <v>130</v>
      </c>
      <c r="L19" s="40"/>
      <c r="M19" s="40"/>
      <c r="N19" s="40"/>
      <c r="O19" s="73"/>
      <c r="Q19" s="36" t="s">
        <v>103</v>
      </c>
      <c r="R19" s="73">
        <v>1220</v>
      </c>
      <c r="S19" s="73">
        <v>130</v>
      </c>
      <c r="T19" s="40"/>
      <c r="U19" s="40"/>
      <c r="V19" s="40"/>
      <c r="W19" s="73"/>
      <c r="Y19" s="36" t="s">
        <v>103</v>
      </c>
      <c r="Z19" s="73">
        <v>1220</v>
      </c>
      <c r="AA19" s="73">
        <v>130</v>
      </c>
      <c r="AB19" s="40"/>
      <c r="AC19" s="40"/>
      <c r="AD19" s="40"/>
      <c r="AE19" s="73"/>
      <c r="AG19" s="36" t="s">
        <v>103</v>
      </c>
      <c r="AH19" s="73">
        <v>1220</v>
      </c>
      <c r="AI19" s="73">
        <v>130</v>
      </c>
      <c r="AJ19" s="40">
        <f>AJ41-AJ6+AJ7</f>
        <v>3867993.46</v>
      </c>
      <c r="AK19" s="40">
        <f>AK41-AK6</f>
        <v>3559600</v>
      </c>
      <c r="AL19" s="40">
        <f>AL41-AL6</f>
        <v>3559600</v>
      </c>
      <c r="AM19" s="73"/>
    </row>
    <row r="20" spans="1:39" ht="44.25" customHeight="1" hidden="1">
      <c r="A20" s="36" t="s">
        <v>104</v>
      </c>
      <c r="B20" s="73">
        <v>1230</v>
      </c>
      <c r="C20" s="73">
        <v>130</v>
      </c>
      <c r="D20" s="40">
        <f t="shared" si="2"/>
        <v>0</v>
      </c>
      <c r="E20" s="40">
        <f t="shared" si="3"/>
        <v>0</v>
      </c>
      <c r="F20" s="40">
        <f t="shared" si="3"/>
        <v>0</v>
      </c>
      <c r="G20" s="40">
        <f t="shared" si="3"/>
        <v>0</v>
      </c>
      <c r="I20" s="36" t="s">
        <v>104</v>
      </c>
      <c r="J20" s="73">
        <v>1230</v>
      </c>
      <c r="K20" s="73">
        <v>130</v>
      </c>
      <c r="L20" s="40"/>
      <c r="M20" s="40"/>
      <c r="N20" s="40"/>
      <c r="O20" s="73"/>
      <c r="Q20" s="36" t="s">
        <v>104</v>
      </c>
      <c r="R20" s="73">
        <v>1230</v>
      </c>
      <c r="S20" s="73">
        <v>130</v>
      </c>
      <c r="T20" s="40"/>
      <c r="U20" s="40"/>
      <c r="V20" s="40"/>
      <c r="W20" s="73"/>
      <c r="Y20" s="36" t="s">
        <v>104</v>
      </c>
      <c r="Z20" s="73">
        <v>1230</v>
      </c>
      <c r="AA20" s="73">
        <v>130</v>
      </c>
      <c r="AB20" s="40"/>
      <c r="AC20" s="40"/>
      <c r="AD20" s="40"/>
      <c r="AE20" s="73"/>
      <c r="AG20" s="36" t="s">
        <v>104</v>
      </c>
      <c r="AH20" s="73">
        <v>1230</v>
      </c>
      <c r="AI20" s="73">
        <v>130</v>
      </c>
      <c r="AJ20" s="40"/>
      <c r="AK20" s="40"/>
      <c r="AL20" s="40"/>
      <c r="AM20" s="73"/>
    </row>
    <row r="21" spans="1:39" ht="23.25" customHeight="1" hidden="1">
      <c r="A21" s="36" t="s">
        <v>66</v>
      </c>
      <c r="B21" s="73">
        <v>1240</v>
      </c>
      <c r="C21" s="73">
        <v>130</v>
      </c>
      <c r="D21" s="40">
        <f t="shared" si="2"/>
        <v>0</v>
      </c>
      <c r="E21" s="40">
        <f t="shared" si="3"/>
        <v>0</v>
      </c>
      <c r="F21" s="40">
        <f t="shared" si="3"/>
        <v>0</v>
      </c>
      <c r="G21" s="40">
        <f t="shared" si="3"/>
        <v>0</v>
      </c>
      <c r="I21" s="36" t="s">
        <v>66</v>
      </c>
      <c r="J21" s="73">
        <v>1240</v>
      </c>
      <c r="K21" s="73">
        <v>130</v>
      </c>
      <c r="L21" s="40"/>
      <c r="M21" s="40"/>
      <c r="N21" s="40"/>
      <c r="O21" s="73"/>
      <c r="Q21" s="36" t="s">
        <v>66</v>
      </c>
      <c r="R21" s="73">
        <v>1240</v>
      </c>
      <c r="S21" s="73">
        <v>130</v>
      </c>
      <c r="T21" s="40"/>
      <c r="U21" s="40"/>
      <c r="V21" s="40"/>
      <c r="W21" s="73"/>
      <c r="Y21" s="36" t="s">
        <v>66</v>
      </c>
      <c r="Z21" s="73">
        <v>1240</v>
      </c>
      <c r="AA21" s="73">
        <v>130</v>
      </c>
      <c r="AB21" s="40"/>
      <c r="AC21" s="40"/>
      <c r="AD21" s="40"/>
      <c r="AE21" s="73"/>
      <c r="AG21" s="36" t="s">
        <v>66</v>
      </c>
      <c r="AH21" s="73">
        <v>1240</v>
      </c>
      <c r="AI21" s="73">
        <v>130</v>
      </c>
      <c r="AJ21" s="40"/>
      <c r="AK21" s="40"/>
      <c r="AL21" s="40"/>
      <c r="AM21" s="73"/>
    </row>
    <row r="22" spans="1:39" ht="20.25" customHeight="1" hidden="1">
      <c r="A22" s="28" t="s">
        <v>206</v>
      </c>
      <c r="B22" s="73">
        <v>1300</v>
      </c>
      <c r="C22" s="73">
        <v>140</v>
      </c>
      <c r="D22" s="40">
        <f>D23+D24</f>
        <v>0</v>
      </c>
      <c r="E22" s="40">
        <f>E23+E24</f>
        <v>0</v>
      </c>
      <c r="F22" s="40">
        <f>F23+F24</f>
        <v>0</v>
      </c>
      <c r="G22" s="40">
        <f>G23+G24</f>
        <v>0</v>
      </c>
      <c r="I22" s="28" t="s">
        <v>206</v>
      </c>
      <c r="J22" s="73">
        <v>1300</v>
      </c>
      <c r="K22" s="73">
        <v>140</v>
      </c>
      <c r="L22" s="40">
        <f>L23+L24</f>
        <v>0</v>
      </c>
      <c r="M22" s="40">
        <f>M23+M24</f>
        <v>0</v>
      </c>
      <c r="N22" s="40">
        <f>N23+N24</f>
        <v>0</v>
      </c>
      <c r="O22" s="40">
        <f>O23+O24</f>
        <v>0</v>
      </c>
      <c r="Q22" s="28" t="s">
        <v>206</v>
      </c>
      <c r="R22" s="73">
        <v>1300</v>
      </c>
      <c r="S22" s="73">
        <v>140</v>
      </c>
      <c r="T22" s="40">
        <f>T23+T24</f>
        <v>0</v>
      </c>
      <c r="U22" s="40">
        <f>U23+U24</f>
        <v>0</v>
      </c>
      <c r="V22" s="40">
        <f>V23+V24</f>
        <v>0</v>
      </c>
      <c r="W22" s="40">
        <f>W23+W24</f>
        <v>0</v>
      </c>
      <c r="Y22" s="28" t="s">
        <v>206</v>
      </c>
      <c r="Z22" s="73">
        <v>1300</v>
      </c>
      <c r="AA22" s="73">
        <v>140</v>
      </c>
      <c r="AB22" s="40">
        <f>AB23+AB24</f>
        <v>0</v>
      </c>
      <c r="AC22" s="40">
        <f>AC23+AC24</f>
        <v>0</v>
      </c>
      <c r="AD22" s="40">
        <f>AD23+AD24</f>
        <v>0</v>
      </c>
      <c r="AE22" s="40">
        <f>AE23+AE24</f>
        <v>0</v>
      </c>
      <c r="AG22" s="28" t="s">
        <v>206</v>
      </c>
      <c r="AH22" s="73">
        <v>1300</v>
      </c>
      <c r="AI22" s="73">
        <v>140</v>
      </c>
      <c r="AJ22" s="40">
        <f>AJ23+AJ24</f>
        <v>0</v>
      </c>
      <c r="AK22" s="40">
        <f>AK23+AK24</f>
        <v>0</v>
      </c>
      <c r="AL22" s="40">
        <f>AL23+AL24</f>
        <v>0</v>
      </c>
      <c r="AM22" s="40">
        <f>AM23+AM24</f>
        <v>0</v>
      </c>
    </row>
    <row r="23" spans="1:39" ht="64.5" customHeight="1" hidden="1">
      <c r="A23" s="36" t="s">
        <v>207</v>
      </c>
      <c r="B23" s="73">
        <v>1310</v>
      </c>
      <c r="C23" s="73">
        <v>140</v>
      </c>
      <c r="D23" s="40">
        <f t="shared" si="2"/>
        <v>0</v>
      </c>
      <c r="E23" s="40">
        <f aca="true" t="shared" si="4" ref="E23:G24">M23+U23+AC23+AK23</f>
        <v>0</v>
      </c>
      <c r="F23" s="40">
        <f t="shared" si="4"/>
        <v>0</v>
      </c>
      <c r="G23" s="40">
        <f t="shared" si="4"/>
        <v>0</v>
      </c>
      <c r="I23" s="36" t="s">
        <v>207</v>
      </c>
      <c r="J23" s="73">
        <v>1310</v>
      </c>
      <c r="K23" s="73">
        <v>140</v>
      </c>
      <c r="L23" s="40"/>
      <c r="M23" s="40"/>
      <c r="N23" s="40"/>
      <c r="O23" s="73"/>
      <c r="Q23" s="36" t="s">
        <v>207</v>
      </c>
      <c r="R23" s="73">
        <v>1310</v>
      </c>
      <c r="S23" s="73">
        <v>140</v>
      </c>
      <c r="T23" s="40"/>
      <c r="U23" s="40"/>
      <c r="V23" s="40"/>
      <c r="W23" s="73"/>
      <c r="Y23" s="36" t="s">
        <v>207</v>
      </c>
      <c r="Z23" s="73">
        <v>1310</v>
      </c>
      <c r="AA23" s="73">
        <v>140</v>
      </c>
      <c r="AB23" s="40"/>
      <c r="AC23" s="40"/>
      <c r="AD23" s="40"/>
      <c r="AE23" s="73"/>
      <c r="AG23" s="36" t="s">
        <v>207</v>
      </c>
      <c r="AH23" s="73">
        <v>1310</v>
      </c>
      <c r="AI23" s="73">
        <v>140</v>
      </c>
      <c r="AJ23" s="40"/>
      <c r="AK23" s="40"/>
      <c r="AL23" s="40"/>
      <c r="AM23" s="73"/>
    </row>
    <row r="24" spans="1:39" ht="28.5" customHeight="1" hidden="1">
      <c r="A24" s="36" t="s">
        <v>67</v>
      </c>
      <c r="B24" s="73">
        <v>1320</v>
      </c>
      <c r="C24" s="73">
        <v>140</v>
      </c>
      <c r="D24" s="40">
        <f t="shared" si="2"/>
        <v>0</v>
      </c>
      <c r="E24" s="40">
        <f t="shared" si="4"/>
        <v>0</v>
      </c>
      <c r="F24" s="40">
        <f t="shared" si="4"/>
        <v>0</v>
      </c>
      <c r="G24" s="40">
        <f t="shared" si="4"/>
        <v>0</v>
      </c>
      <c r="I24" s="36" t="s">
        <v>67</v>
      </c>
      <c r="J24" s="73">
        <v>1320</v>
      </c>
      <c r="K24" s="73">
        <v>140</v>
      </c>
      <c r="L24" s="40"/>
      <c r="M24" s="40"/>
      <c r="N24" s="40"/>
      <c r="O24" s="73"/>
      <c r="Q24" s="36" t="s">
        <v>67</v>
      </c>
      <c r="R24" s="73">
        <v>1320</v>
      </c>
      <c r="S24" s="73">
        <v>140</v>
      </c>
      <c r="T24" s="40"/>
      <c r="U24" s="40"/>
      <c r="V24" s="40"/>
      <c r="W24" s="73"/>
      <c r="Y24" s="36" t="s">
        <v>67</v>
      </c>
      <c r="Z24" s="73">
        <v>1320</v>
      </c>
      <c r="AA24" s="73">
        <v>140</v>
      </c>
      <c r="AB24" s="40"/>
      <c r="AC24" s="40"/>
      <c r="AD24" s="40"/>
      <c r="AE24" s="73"/>
      <c r="AG24" s="36" t="s">
        <v>67</v>
      </c>
      <c r="AH24" s="73">
        <v>1320</v>
      </c>
      <c r="AI24" s="73">
        <v>140</v>
      </c>
      <c r="AJ24" s="40"/>
      <c r="AK24" s="40"/>
      <c r="AL24" s="40"/>
      <c r="AM24" s="73"/>
    </row>
    <row r="25" spans="1:39" ht="23.25" customHeight="1" hidden="1">
      <c r="A25" s="35" t="s">
        <v>208</v>
      </c>
      <c r="B25" s="73">
        <v>1400</v>
      </c>
      <c r="C25" s="73">
        <v>150</v>
      </c>
      <c r="D25" s="40">
        <f>D26+D27+D28</f>
        <v>0</v>
      </c>
      <c r="E25" s="40">
        <f>E26+E27+E28</f>
        <v>0</v>
      </c>
      <c r="F25" s="40">
        <f>F26+F27+F28</f>
        <v>0</v>
      </c>
      <c r="G25" s="40">
        <f>G26+G27+G28</f>
        <v>0</v>
      </c>
      <c r="I25" s="35" t="s">
        <v>208</v>
      </c>
      <c r="J25" s="73">
        <v>1400</v>
      </c>
      <c r="K25" s="73">
        <v>150</v>
      </c>
      <c r="L25" s="40">
        <f>L26+L27+L28</f>
        <v>0</v>
      </c>
      <c r="M25" s="40">
        <f>M26+M27+M28</f>
        <v>0</v>
      </c>
      <c r="N25" s="40">
        <f>N26+N27+N28</f>
        <v>0</v>
      </c>
      <c r="O25" s="40">
        <f>O26+O27+O28</f>
        <v>0</v>
      </c>
      <c r="Q25" s="35" t="s">
        <v>208</v>
      </c>
      <c r="R25" s="73">
        <v>1400</v>
      </c>
      <c r="S25" s="73">
        <v>150</v>
      </c>
      <c r="T25" s="40">
        <f>T26+T27+T28</f>
        <v>0</v>
      </c>
      <c r="U25" s="40">
        <f>U26+U27+U28</f>
        <v>0</v>
      </c>
      <c r="V25" s="40">
        <f>V26+V27+V28</f>
        <v>0</v>
      </c>
      <c r="W25" s="40">
        <f>W26+W27+W28</f>
        <v>0</v>
      </c>
      <c r="Y25" s="35" t="s">
        <v>208</v>
      </c>
      <c r="Z25" s="73">
        <v>1400</v>
      </c>
      <c r="AA25" s="73">
        <v>150</v>
      </c>
      <c r="AB25" s="40">
        <f>AB26+AB27+AB28</f>
        <v>0</v>
      </c>
      <c r="AC25" s="40">
        <f>AC26+AC27+AC28</f>
        <v>0</v>
      </c>
      <c r="AD25" s="40">
        <f>AD26+AD27+AD28</f>
        <v>0</v>
      </c>
      <c r="AE25" s="40">
        <f>AE26+AE27+AE28</f>
        <v>0</v>
      </c>
      <c r="AG25" s="35" t="s">
        <v>208</v>
      </c>
      <c r="AH25" s="73">
        <v>1400</v>
      </c>
      <c r="AI25" s="73">
        <v>150</v>
      </c>
      <c r="AJ25" s="40">
        <f>AJ26+AJ27+AJ28</f>
        <v>0</v>
      </c>
      <c r="AK25" s="40">
        <f>AK26+AK27+AK28</f>
        <v>0</v>
      </c>
      <c r="AL25" s="40">
        <f>AL26+AL27+AL28</f>
        <v>0</v>
      </c>
      <c r="AM25" s="40">
        <f>AM26+AM27+AM28</f>
        <v>0</v>
      </c>
    </row>
    <row r="26" spans="1:39" ht="31.5" customHeight="1" hidden="1">
      <c r="A26" s="37" t="s">
        <v>211</v>
      </c>
      <c r="B26" s="73">
        <v>1410</v>
      </c>
      <c r="C26" s="73">
        <v>150</v>
      </c>
      <c r="D26" s="40">
        <f t="shared" si="2"/>
        <v>0</v>
      </c>
      <c r="E26" s="40">
        <f aca="true" t="shared" si="5" ref="E26:G28">M26+U26+AC26+AK26</f>
        <v>0</v>
      </c>
      <c r="F26" s="40">
        <f t="shared" si="5"/>
        <v>0</v>
      </c>
      <c r="G26" s="40">
        <f t="shared" si="5"/>
        <v>0</v>
      </c>
      <c r="I26" s="37" t="s">
        <v>211</v>
      </c>
      <c r="J26" s="73">
        <v>1410</v>
      </c>
      <c r="K26" s="73">
        <v>150</v>
      </c>
      <c r="L26" s="40"/>
      <c r="M26" s="40"/>
      <c r="N26" s="40"/>
      <c r="O26" s="40"/>
      <c r="Q26" s="37" t="s">
        <v>211</v>
      </c>
      <c r="R26" s="73">
        <v>1410</v>
      </c>
      <c r="S26" s="73">
        <v>150</v>
      </c>
      <c r="T26" s="40"/>
      <c r="U26" s="40"/>
      <c r="V26" s="40"/>
      <c r="W26" s="40"/>
      <c r="Y26" s="37" t="s">
        <v>211</v>
      </c>
      <c r="Z26" s="73">
        <v>1410</v>
      </c>
      <c r="AA26" s="73">
        <v>150</v>
      </c>
      <c r="AB26" s="40"/>
      <c r="AC26" s="40"/>
      <c r="AD26" s="40"/>
      <c r="AE26" s="40"/>
      <c r="AG26" s="37" t="s">
        <v>211</v>
      </c>
      <c r="AH26" s="73">
        <v>1410</v>
      </c>
      <c r="AI26" s="73">
        <v>150</v>
      </c>
      <c r="AJ26" s="40"/>
      <c r="AK26" s="40"/>
      <c r="AL26" s="40"/>
      <c r="AM26" s="40"/>
    </row>
    <row r="27" spans="1:39" ht="21" customHeight="1" hidden="1">
      <c r="A27" s="37" t="s">
        <v>105</v>
      </c>
      <c r="B27" s="73">
        <v>1420</v>
      </c>
      <c r="C27" s="73">
        <v>150</v>
      </c>
      <c r="D27" s="40">
        <f t="shared" si="2"/>
        <v>0</v>
      </c>
      <c r="E27" s="40">
        <f t="shared" si="5"/>
        <v>0</v>
      </c>
      <c r="F27" s="40">
        <f t="shared" si="5"/>
        <v>0</v>
      </c>
      <c r="G27" s="40">
        <f t="shared" si="5"/>
        <v>0</v>
      </c>
      <c r="I27" s="37" t="s">
        <v>105</v>
      </c>
      <c r="J27" s="73">
        <v>1420</v>
      </c>
      <c r="K27" s="73">
        <v>150</v>
      </c>
      <c r="L27" s="40"/>
      <c r="M27" s="40"/>
      <c r="N27" s="40"/>
      <c r="O27" s="40"/>
      <c r="Q27" s="37" t="s">
        <v>105</v>
      </c>
      <c r="R27" s="73">
        <v>1420</v>
      </c>
      <c r="S27" s="73">
        <v>150</v>
      </c>
      <c r="T27" s="40"/>
      <c r="U27" s="40"/>
      <c r="V27" s="40"/>
      <c r="W27" s="40"/>
      <c r="Y27" s="37" t="s">
        <v>105</v>
      </c>
      <c r="Z27" s="73">
        <v>1420</v>
      </c>
      <c r="AA27" s="73">
        <v>150</v>
      </c>
      <c r="AB27" s="40"/>
      <c r="AC27" s="40"/>
      <c r="AD27" s="40"/>
      <c r="AE27" s="40"/>
      <c r="AG27" s="37" t="s">
        <v>105</v>
      </c>
      <c r="AH27" s="73">
        <v>1420</v>
      </c>
      <c r="AI27" s="73">
        <v>150</v>
      </c>
      <c r="AJ27" s="40"/>
      <c r="AK27" s="40"/>
      <c r="AL27" s="40"/>
      <c r="AM27" s="40"/>
    </row>
    <row r="28" spans="1:39" ht="49.5" customHeight="1" hidden="1">
      <c r="A28" s="37" t="s">
        <v>209</v>
      </c>
      <c r="B28" s="73">
        <v>1430</v>
      </c>
      <c r="C28" s="73">
        <v>150</v>
      </c>
      <c r="D28" s="40">
        <f t="shared" si="2"/>
        <v>0</v>
      </c>
      <c r="E28" s="40">
        <f t="shared" si="5"/>
        <v>0</v>
      </c>
      <c r="F28" s="40">
        <f t="shared" si="5"/>
        <v>0</v>
      </c>
      <c r="G28" s="40">
        <f t="shared" si="5"/>
        <v>0</v>
      </c>
      <c r="I28" s="37" t="s">
        <v>209</v>
      </c>
      <c r="J28" s="73">
        <v>1430</v>
      </c>
      <c r="K28" s="73">
        <v>150</v>
      </c>
      <c r="L28" s="40"/>
      <c r="M28" s="40"/>
      <c r="N28" s="40"/>
      <c r="O28" s="40"/>
      <c r="Q28" s="37" t="s">
        <v>209</v>
      </c>
      <c r="R28" s="73">
        <v>1430</v>
      </c>
      <c r="S28" s="73">
        <v>150</v>
      </c>
      <c r="T28" s="40"/>
      <c r="U28" s="40"/>
      <c r="V28" s="40"/>
      <c r="W28" s="40"/>
      <c r="Y28" s="37" t="s">
        <v>209</v>
      </c>
      <c r="Z28" s="73">
        <v>1430</v>
      </c>
      <c r="AA28" s="73">
        <v>150</v>
      </c>
      <c r="AB28" s="40"/>
      <c r="AC28" s="40"/>
      <c r="AD28" s="40"/>
      <c r="AE28" s="40"/>
      <c r="AG28" s="37" t="s">
        <v>209</v>
      </c>
      <c r="AH28" s="73">
        <v>1430</v>
      </c>
      <c r="AI28" s="73">
        <v>150</v>
      </c>
      <c r="AJ28" s="40"/>
      <c r="AK28" s="40"/>
      <c r="AL28" s="40"/>
      <c r="AM28" s="40"/>
    </row>
    <row r="29" spans="1:39" ht="22.5" customHeight="1">
      <c r="A29" s="35" t="s">
        <v>212</v>
      </c>
      <c r="B29" s="73">
        <v>1500</v>
      </c>
      <c r="C29" s="73" t="s">
        <v>203</v>
      </c>
      <c r="D29" s="40">
        <f>D30+D31+D32+D33</f>
        <v>8439610.8</v>
      </c>
      <c r="E29" s="40">
        <f>E30+E31+E32+E33</f>
        <v>0</v>
      </c>
      <c r="F29" s="40">
        <f>F30+F31+F32+F33</f>
        <v>0</v>
      </c>
      <c r="G29" s="40">
        <f>G30+G31+G32+G33</f>
        <v>0</v>
      </c>
      <c r="I29" s="35" t="s">
        <v>212</v>
      </c>
      <c r="J29" s="73">
        <v>1500</v>
      </c>
      <c r="K29" s="73" t="s">
        <v>203</v>
      </c>
      <c r="L29" s="40">
        <f>L30+L31+L32+L33</f>
        <v>0</v>
      </c>
      <c r="M29" s="40">
        <f>M30+M31+M32+M33</f>
        <v>0</v>
      </c>
      <c r="N29" s="40">
        <f>N30+N31+N32+N33</f>
        <v>0</v>
      </c>
      <c r="O29" s="40">
        <f>O30+O31+O32+O33</f>
        <v>0</v>
      </c>
      <c r="Q29" s="35" t="s">
        <v>212</v>
      </c>
      <c r="R29" s="73">
        <v>1500</v>
      </c>
      <c r="S29" s="73" t="s">
        <v>203</v>
      </c>
      <c r="T29" s="40">
        <f>T30+T31+T32+T33</f>
        <v>0</v>
      </c>
      <c r="U29" s="40">
        <f>U30+U31+U32+U33</f>
        <v>0</v>
      </c>
      <c r="V29" s="40">
        <f>V30+V31+V32+V33</f>
        <v>0</v>
      </c>
      <c r="W29" s="40">
        <f>W30+W31+W32+W33</f>
        <v>0</v>
      </c>
      <c r="Y29" s="35" t="s">
        <v>212</v>
      </c>
      <c r="Z29" s="73">
        <v>1500</v>
      </c>
      <c r="AA29" s="73" t="s">
        <v>203</v>
      </c>
      <c r="AB29" s="40">
        <f>AB30+AB31+AB32+AB33</f>
        <v>8439610.8</v>
      </c>
      <c r="AC29" s="40">
        <f>AC30+AC31+AC32+AC33</f>
        <v>0</v>
      </c>
      <c r="AD29" s="40">
        <f>AD30+AD31+AD32+AD33</f>
        <v>0</v>
      </c>
      <c r="AE29" s="40">
        <f>AE30+AE31+AE32+AE33</f>
        <v>0</v>
      </c>
      <c r="AG29" s="35" t="s">
        <v>212</v>
      </c>
      <c r="AH29" s="73">
        <v>1500</v>
      </c>
      <c r="AI29" s="73" t="s">
        <v>203</v>
      </c>
      <c r="AJ29" s="40">
        <f>AJ30+AJ31+AJ32+AJ33</f>
        <v>0</v>
      </c>
      <c r="AK29" s="40">
        <f>AK30+AK31+AK32+AK33</f>
        <v>0</v>
      </c>
      <c r="AL29" s="40">
        <f>AL30+AL31+AL32+AL33</f>
        <v>0</v>
      </c>
      <c r="AM29" s="40">
        <f>AM30+AM31+AM32+AM33</f>
        <v>0</v>
      </c>
    </row>
    <row r="30" spans="1:39" ht="57.75" customHeight="1">
      <c r="A30" s="36" t="s">
        <v>210</v>
      </c>
      <c r="B30" s="73">
        <v>1510</v>
      </c>
      <c r="C30" s="31">
        <v>150</v>
      </c>
      <c r="D30" s="40">
        <f t="shared" si="2"/>
        <v>8439610.8</v>
      </c>
      <c r="E30" s="40">
        <f aca="true" t="shared" si="6" ref="E30:G33">M30+U30+AC30+AK30</f>
        <v>0</v>
      </c>
      <c r="F30" s="40">
        <f t="shared" si="6"/>
        <v>0</v>
      </c>
      <c r="G30" s="40">
        <f t="shared" si="6"/>
        <v>0</v>
      </c>
      <c r="I30" s="36" t="s">
        <v>210</v>
      </c>
      <c r="J30" s="73">
        <v>1510</v>
      </c>
      <c r="K30" s="31">
        <v>150</v>
      </c>
      <c r="L30" s="40"/>
      <c r="M30" s="40"/>
      <c r="N30" s="40"/>
      <c r="O30" s="40"/>
      <c r="Q30" s="36" t="s">
        <v>210</v>
      </c>
      <c r="R30" s="73">
        <v>1510</v>
      </c>
      <c r="S30" s="31">
        <v>150</v>
      </c>
      <c r="T30" s="40"/>
      <c r="U30" s="40"/>
      <c r="V30" s="40"/>
      <c r="W30" s="40"/>
      <c r="Y30" s="36" t="s">
        <v>210</v>
      </c>
      <c r="Z30" s="73">
        <v>1510</v>
      </c>
      <c r="AA30" s="31">
        <v>150</v>
      </c>
      <c r="AB30" s="40">
        <f>'Иные цели'!D30</f>
        <v>8439610.8</v>
      </c>
      <c r="AC30" s="40"/>
      <c r="AD30" s="40"/>
      <c r="AE30" s="40"/>
      <c r="AG30" s="36" t="s">
        <v>210</v>
      </c>
      <c r="AH30" s="73">
        <v>1510</v>
      </c>
      <c r="AI30" s="31">
        <v>150</v>
      </c>
      <c r="AJ30" s="40"/>
      <c r="AK30" s="40"/>
      <c r="AL30" s="40"/>
      <c r="AM30" s="40"/>
    </row>
    <row r="31" spans="1:39" ht="15.75" hidden="1">
      <c r="A31" s="37" t="s">
        <v>68</v>
      </c>
      <c r="B31" s="73">
        <v>1520</v>
      </c>
      <c r="C31" s="73">
        <v>150</v>
      </c>
      <c r="D31" s="40">
        <f t="shared" si="2"/>
        <v>0</v>
      </c>
      <c r="E31" s="40">
        <f t="shared" si="6"/>
        <v>0</v>
      </c>
      <c r="F31" s="40">
        <f t="shared" si="6"/>
        <v>0</v>
      </c>
      <c r="G31" s="40">
        <f t="shared" si="6"/>
        <v>0</v>
      </c>
      <c r="I31" s="37" t="s">
        <v>68</v>
      </c>
      <c r="J31" s="73">
        <v>1520</v>
      </c>
      <c r="K31" s="73">
        <v>150</v>
      </c>
      <c r="L31" s="40"/>
      <c r="M31" s="40"/>
      <c r="N31" s="40"/>
      <c r="O31" s="40"/>
      <c r="Q31" s="37" t="s">
        <v>68</v>
      </c>
      <c r="R31" s="73">
        <v>1520</v>
      </c>
      <c r="S31" s="73">
        <v>150</v>
      </c>
      <c r="T31" s="40"/>
      <c r="U31" s="40"/>
      <c r="V31" s="40"/>
      <c r="W31" s="40"/>
      <c r="Y31" s="37" t="s">
        <v>68</v>
      </c>
      <c r="Z31" s="73">
        <v>1520</v>
      </c>
      <c r="AA31" s="73">
        <v>150</v>
      </c>
      <c r="AB31" s="40"/>
      <c r="AC31" s="40"/>
      <c r="AD31" s="40"/>
      <c r="AE31" s="40"/>
      <c r="AG31" s="37" t="s">
        <v>68</v>
      </c>
      <c r="AH31" s="73">
        <v>1520</v>
      </c>
      <c r="AI31" s="73">
        <v>150</v>
      </c>
      <c r="AJ31" s="40"/>
      <c r="AK31" s="40"/>
      <c r="AL31" s="40"/>
      <c r="AM31" s="40"/>
    </row>
    <row r="32" spans="1:39" ht="15.75" hidden="1">
      <c r="A32" s="36" t="s">
        <v>69</v>
      </c>
      <c r="B32" s="73">
        <v>1530</v>
      </c>
      <c r="C32" s="73">
        <v>150</v>
      </c>
      <c r="D32" s="40">
        <f t="shared" si="2"/>
        <v>0</v>
      </c>
      <c r="E32" s="40">
        <f t="shared" si="6"/>
        <v>0</v>
      </c>
      <c r="F32" s="40">
        <f t="shared" si="6"/>
        <v>0</v>
      </c>
      <c r="G32" s="40">
        <f t="shared" si="6"/>
        <v>0</v>
      </c>
      <c r="I32" s="36" t="s">
        <v>69</v>
      </c>
      <c r="J32" s="73">
        <v>1530</v>
      </c>
      <c r="K32" s="73">
        <v>150</v>
      </c>
      <c r="L32" s="40"/>
      <c r="M32" s="40"/>
      <c r="N32" s="40"/>
      <c r="O32" s="40"/>
      <c r="Q32" s="36" t="s">
        <v>69</v>
      </c>
      <c r="R32" s="73">
        <v>1530</v>
      </c>
      <c r="S32" s="73">
        <v>150</v>
      </c>
      <c r="T32" s="40"/>
      <c r="U32" s="40"/>
      <c r="V32" s="40"/>
      <c r="W32" s="40"/>
      <c r="Y32" s="36" t="s">
        <v>69</v>
      </c>
      <c r="Z32" s="73">
        <v>1530</v>
      </c>
      <c r="AA32" s="73">
        <v>150</v>
      </c>
      <c r="AB32" s="40"/>
      <c r="AC32" s="40"/>
      <c r="AD32" s="40"/>
      <c r="AE32" s="40"/>
      <c r="AG32" s="36" t="s">
        <v>69</v>
      </c>
      <c r="AH32" s="73">
        <v>1530</v>
      </c>
      <c r="AI32" s="73">
        <v>150</v>
      </c>
      <c r="AJ32" s="40"/>
      <c r="AK32" s="40"/>
      <c r="AL32" s="40"/>
      <c r="AM32" s="40"/>
    </row>
    <row r="33" spans="1:39" ht="15.75" hidden="1">
      <c r="A33" s="36" t="s">
        <v>70</v>
      </c>
      <c r="B33" s="73">
        <v>1540</v>
      </c>
      <c r="C33" s="73">
        <v>180</v>
      </c>
      <c r="D33" s="40">
        <f t="shared" si="2"/>
        <v>0</v>
      </c>
      <c r="E33" s="40">
        <f t="shared" si="6"/>
        <v>0</v>
      </c>
      <c r="F33" s="40">
        <f t="shared" si="6"/>
        <v>0</v>
      </c>
      <c r="G33" s="40">
        <f t="shared" si="6"/>
        <v>0</v>
      </c>
      <c r="I33" s="36" t="s">
        <v>70</v>
      </c>
      <c r="J33" s="73">
        <v>1540</v>
      </c>
      <c r="K33" s="73">
        <v>180</v>
      </c>
      <c r="L33" s="40"/>
      <c r="M33" s="40"/>
      <c r="N33" s="40"/>
      <c r="O33" s="40"/>
      <c r="Q33" s="36" t="s">
        <v>70</v>
      </c>
      <c r="R33" s="73">
        <v>1540</v>
      </c>
      <c r="S33" s="73">
        <v>180</v>
      </c>
      <c r="T33" s="40"/>
      <c r="U33" s="40"/>
      <c r="V33" s="40"/>
      <c r="W33" s="40"/>
      <c r="Y33" s="36" t="s">
        <v>70</v>
      </c>
      <c r="Z33" s="73">
        <v>1540</v>
      </c>
      <c r="AA33" s="73">
        <v>180</v>
      </c>
      <c r="AB33" s="40"/>
      <c r="AC33" s="40"/>
      <c r="AD33" s="40"/>
      <c r="AE33" s="40"/>
      <c r="AG33" s="36" t="s">
        <v>70</v>
      </c>
      <c r="AH33" s="73">
        <v>1540</v>
      </c>
      <c r="AI33" s="73">
        <v>180</v>
      </c>
      <c r="AJ33" s="40"/>
      <c r="AK33" s="40"/>
      <c r="AL33" s="40"/>
      <c r="AM33" s="40"/>
    </row>
    <row r="34" spans="1:39" ht="15.75" hidden="1">
      <c r="A34" s="28" t="s">
        <v>213</v>
      </c>
      <c r="B34" s="73">
        <v>1600</v>
      </c>
      <c r="C34" s="73" t="s">
        <v>203</v>
      </c>
      <c r="D34" s="40">
        <f>D35+D36</f>
        <v>0</v>
      </c>
      <c r="E34" s="40">
        <f>E35+E36</f>
        <v>0</v>
      </c>
      <c r="F34" s="40">
        <f>F35+F36</f>
        <v>0</v>
      </c>
      <c r="G34" s="40">
        <f>G35+G36</f>
        <v>0</v>
      </c>
      <c r="I34" s="28" t="s">
        <v>213</v>
      </c>
      <c r="J34" s="73">
        <v>1600</v>
      </c>
      <c r="K34" s="73" t="s">
        <v>203</v>
      </c>
      <c r="L34" s="40">
        <f>L35+L36</f>
        <v>0</v>
      </c>
      <c r="M34" s="40">
        <f>M35+M36</f>
        <v>0</v>
      </c>
      <c r="N34" s="40">
        <f>N35+N36</f>
        <v>0</v>
      </c>
      <c r="O34" s="40">
        <f>O35+O36</f>
        <v>0</v>
      </c>
      <c r="Q34" s="28" t="s">
        <v>213</v>
      </c>
      <c r="R34" s="73">
        <v>1600</v>
      </c>
      <c r="S34" s="73" t="s">
        <v>203</v>
      </c>
      <c r="T34" s="40">
        <f>T35+T36</f>
        <v>0</v>
      </c>
      <c r="U34" s="40">
        <f>U35+U36</f>
        <v>0</v>
      </c>
      <c r="V34" s="40">
        <f>V35+V36</f>
        <v>0</v>
      </c>
      <c r="W34" s="40">
        <f>W35+W36</f>
        <v>0</v>
      </c>
      <c r="Y34" s="28" t="s">
        <v>213</v>
      </c>
      <c r="Z34" s="73">
        <v>1600</v>
      </c>
      <c r="AA34" s="73" t="s">
        <v>203</v>
      </c>
      <c r="AB34" s="40">
        <f>AB35+AB36</f>
        <v>0</v>
      </c>
      <c r="AC34" s="40">
        <f>AC35+AC36</f>
        <v>0</v>
      </c>
      <c r="AD34" s="40">
        <f>AD35+AD36</f>
        <v>0</v>
      </c>
      <c r="AE34" s="40">
        <f>AE35+AE36</f>
        <v>0</v>
      </c>
      <c r="AG34" s="28" t="s">
        <v>213</v>
      </c>
      <c r="AH34" s="73">
        <v>1600</v>
      </c>
      <c r="AI34" s="73" t="s">
        <v>203</v>
      </c>
      <c r="AJ34" s="40">
        <f>AJ35+AJ36</f>
        <v>0</v>
      </c>
      <c r="AK34" s="40">
        <f>AK35+AK36</f>
        <v>0</v>
      </c>
      <c r="AL34" s="40">
        <f>AL35+AL36</f>
        <v>0</v>
      </c>
      <c r="AM34" s="40">
        <f>AM35+AM36</f>
        <v>0</v>
      </c>
    </row>
    <row r="35" spans="1:39" ht="33" customHeight="1" hidden="1">
      <c r="A35" s="36" t="s">
        <v>215</v>
      </c>
      <c r="B35" s="73">
        <v>1610</v>
      </c>
      <c r="C35" s="73">
        <v>410</v>
      </c>
      <c r="D35" s="40">
        <f t="shared" si="2"/>
        <v>0</v>
      </c>
      <c r="E35" s="40">
        <f aca="true" t="shared" si="7" ref="E35:G36">M35+U35+AC35+AK35</f>
        <v>0</v>
      </c>
      <c r="F35" s="40">
        <f t="shared" si="7"/>
        <v>0</v>
      </c>
      <c r="G35" s="40">
        <f t="shared" si="7"/>
        <v>0</v>
      </c>
      <c r="I35" s="36" t="s">
        <v>215</v>
      </c>
      <c r="J35" s="73">
        <v>1610</v>
      </c>
      <c r="K35" s="73">
        <v>410</v>
      </c>
      <c r="L35" s="40"/>
      <c r="M35" s="40"/>
      <c r="N35" s="40"/>
      <c r="O35" s="40"/>
      <c r="Q35" s="36" t="s">
        <v>215</v>
      </c>
      <c r="R35" s="73">
        <v>1610</v>
      </c>
      <c r="S35" s="73">
        <v>410</v>
      </c>
      <c r="T35" s="40"/>
      <c r="U35" s="40"/>
      <c r="V35" s="40"/>
      <c r="W35" s="40"/>
      <c r="Y35" s="36" t="s">
        <v>215</v>
      </c>
      <c r="Z35" s="73">
        <v>1610</v>
      </c>
      <c r="AA35" s="73">
        <v>410</v>
      </c>
      <c r="AB35" s="40"/>
      <c r="AC35" s="40"/>
      <c r="AD35" s="40"/>
      <c r="AE35" s="40"/>
      <c r="AG35" s="36" t="s">
        <v>215</v>
      </c>
      <c r="AH35" s="73">
        <v>1610</v>
      </c>
      <c r="AI35" s="73">
        <v>410</v>
      </c>
      <c r="AJ35" s="40"/>
      <c r="AK35" s="40"/>
      <c r="AL35" s="40"/>
      <c r="AM35" s="40"/>
    </row>
    <row r="36" spans="1:39" ht="21" customHeight="1" hidden="1">
      <c r="A36" s="36" t="s">
        <v>214</v>
      </c>
      <c r="B36" s="73">
        <v>1620</v>
      </c>
      <c r="C36" s="73">
        <v>440</v>
      </c>
      <c r="D36" s="40">
        <f t="shared" si="2"/>
        <v>0</v>
      </c>
      <c r="E36" s="40">
        <f t="shared" si="7"/>
        <v>0</v>
      </c>
      <c r="F36" s="40">
        <f t="shared" si="7"/>
        <v>0</v>
      </c>
      <c r="G36" s="40">
        <f t="shared" si="7"/>
        <v>0</v>
      </c>
      <c r="I36" s="36" t="s">
        <v>214</v>
      </c>
      <c r="J36" s="73">
        <v>1620</v>
      </c>
      <c r="K36" s="73">
        <v>440</v>
      </c>
      <c r="L36" s="40"/>
      <c r="M36" s="40"/>
      <c r="N36" s="40"/>
      <c r="O36" s="40"/>
      <c r="Q36" s="36" t="s">
        <v>214</v>
      </c>
      <c r="R36" s="73">
        <v>1620</v>
      </c>
      <c r="S36" s="73">
        <v>440</v>
      </c>
      <c r="T36" s="40"/>
      <c r="U36" s="40"/>
      <c r="V36" s="40"/>
      <c r="W36" s="40"/>
      <c r="Y36" s="36" t="s">
        <v>214</v>
      </c>
      <c r="Z36" s="73">
        <v>1620</v>
      </c>
      <c r="AA36" s="73">
        <v>440</v>
      </c>
      <c r="AB36" s="40"/>
      <c r="AC36" s="40"/>
      <c r="AD36" s="40"/>
      <c r="AE36" s="40"/>
      <c r="AG36" s="36" t="s">
        <v>214</v>
      </c>
      <c r="AH36" s="73">
        <v>1620</v>
      </c>
      <c r="AI36" s="73">
        <v>440</v>
      </c>
      <c r="AJ36" s="40"/>
      <c r="AK36" s="40"/>
      <c r="AL36" s="40"/>
      <c r="AM36" s="40"/>
    </row>
    <row r="37" spans="1:39" ht="15.75" hidden="1">
      <c r="A37" s="28" t="s">
        <v>216</v>
      </c>
      <c r="B37" s="73">
        <v>1700</v>
      </c>
      <c r="C37" s="73" t="s">
        <v>203</v>
      </c>
      <c r="D37" s="40">
        <f>D38+D39</f>
        <v>0</v>
      </c>
      <c r="E37" s="40">
        <f>E38+E39</f>
        <v>0</v>
      </c>
      <c r="F37" s="40">
        <f>F38+F39</f>
        <v>0</v>
      </c>
      <c r="G37" s="40">
        <f>G38+G39</f>
        <v>0</v>
      </c>
      <c r="I37" s="28" t="s">
        <v>216</v>
      </c>
      <c r="J37" s="73">
        <v>1700</v>
      </c>
      <c r="K37" s="73" t="s">
        <v>203</v>
      </c>
      <c r="L37" s="40">
        <f>L38+L39</f>
        <v>0</v>
      </c>
      <c r="M37" s="40">
        <f>M38+M39</f>
        <v>0</v>
      </c>
      <c r="N37" s="40">
        <f>N38+N39</f>
        <v>0</v>
      </c>
      <c r="O37" s="40">
        <f>O38+O39</f>
        <v>0</v>
      </c>
      <c r="Q37" s="28" t="s">
        <v>216</v>
      </c>
      <c r="R37" s="73">
        <v>1700</v>
      </c>
      <c r="S37" s="73" t="s">
        <v>203</v>
      </c>
      <c r="T37" s="40">
        <f>T38+T39</f>
        <v>0</v>
      </c>
      <c r="U37" s="40">
        <f>U38+U39</f>
        <v>0</v>
      </c>
      <c r="V37" s="40">
        <f>V38+V39</f>
        <v>0</v>
      </c>
      <c r="W37" s="40">
        <f>W38+W39</f>
        <v>0</v>
      </c>
      <c r="Y37" s="28" t="s">
        <v>216</v>
      </c>
      <c r="Z37" s="73">
        <v>1700</v>
      </c>
      <c r="AA37" s="73" t="s">
        <v>203</v>
      </c>
      <c r="AB37" s="40">
        <f>AB38+AB39</f>
        <v>0</v>
      </c>
      <c r="AC37" s="40">
        <f>AC38+AC39</f>
        <v>0</v>
      </c>
      <c r="AD37" s="40">
        <f>AD38+AD39</f>
        <v>0</v>
      </c>
      <c r="AE37" s="40">
        <f>AE38+AE39</f>
        <v>0</v>
      </c>
      <c r="AG37" s="28" t="s">
        <v>216</v>
      </c>
      <c r="AH37" s="73">
        <v>1700</v>
      </c>
      <c r="AI37" s="73" t="s">
        <v>203</v>
      </c>
      <c r="AJ37" s="40">
        <f>AJ38+AJ39</f>
        <v>0</v>
      </c>
      <c r="AK37" s="40">
        <f>AK38+AK39</f>
        <v>0</v>
      </c>
      <c r="AL37" s="40">
        <f>AL38+AL39</f>
        <v>0</v>
      </c>
      <c r="AM37" s="40">
        <f>AM38+AM39</f>
        <v>0</v>
      </c>
    </row>
    <row r="38" spans="1:39" ht="31.5" customHeight="1" hidden="1">
      <c r="A38" s="36" t="s">
        <v>217</v>
      </c>
      <c r="B38" s="73">
        <v>1710</v>
      </c>
      <c r="C38" s="73">
        <v>510</v>
      </c>
      <c r="D38" s="40">
        <f>L38+T38+AB38+AJ38</f>
        <v>0</v>
      </c>
      <c r="E38" s="40">
        <f>M38+U38+AC38+AK38</f>
        <v>0</v>
      </c>
      <c r="F38" s="40">
        <f>N38+V38+AD38+AL38</f>
        <v>0</v>
      </c>
      <c r="G38" s="40">
        <f>O38+W38+AE38+AM38</f>
        <v>0</v>
      </c>
      <c r="I38" s="36" t="s">
        <v>217</v>
      </c>
      <c r="J38" s="73">
        <v>1710</v>
      </c>
      <c r="K38" s="73">
        <v>510</v>
      </c>
      <c r="L38" s="40"/>
      <c r="M38" s="40"/>
      <c r="N38" s="40"/>
      <c r="O38" s="40"/>
      <c r="Q38" s="36" t="s">
        <v>217</v>
      </c>
      <c r="R38" s="73">
        <v>1710</v>
      </c>
      <c r="S38" s="73">
        <v>510</v>
      </c>
      <c r="T38" s="40"/>
      <c r="U38" s="40"/>
      <c r="V38" s="40"/>
      <c r="W38" s="40"/>
      <c r="Y38" s="36" t="s">
        <v>217</v>
      </c>
      <c r="Z38" s="73">
        <v>1710</v>
      </c>
      <c r="AA38" s="73">
        <v>510</v>
      </c>
      <c r="AB38" s="40"/>
      <c r="AC38" s="40"/>
      <c r="AD38" s="40"/>
      <c r="AE38" s="40"/>
      <c r="AG38" s="36" t="s">
        <v>217</v>
      </c>
      <c r="AH38" s="73">
        <v>1710</v>
      </c>
      <c r="AI38" s="73">
        <v>510</v>
      </c>
      <c r="AJ38" s="40"/>
      <c r="AK38" s="40"/>
      <c r="AL38" s="40"/>
      <c r="AM38" s="40"/>
    </row>
    <row r="39" spans="1:39" ht="15.75" hidden="1">
      <c r="A39" s="36" t="s">
        <v>219</v>
      </c>
      <c r="B39" s="73">
        <v>1720</v>
      </c>
      <c r="C39" s="73">
        <v>510</v>
      </c>
      <c r="D39" s="40">
        <f>D40</f>
        <v>0</v>
      </c>
      <c r="E39" s="40">
        <f>E40</f>
        <v>0</v>
      </c>
      <c r="F39" s="40">
        <f>F40</f>
        <v>0</v>
      </c>
      <c r="G39" s="40">
        <f>G40</f>
        <v>0</v>
      </c>
      <c r="I39" s="36" t="s">
        <v>219</v>
      </c>
      <c r="J39" s="73">
        <v>1720</v>
      </c>
      <c r="K39" s="73">
        <v>510</v>
      </c>
      <c r="L39" s="40">
        <f>L40</f>
        <v>0</v>
      </c>
      <c r="M39" s="40">
        <f>M40</f>
        <v>0</v>
      </c>
      <c r="N39" s="40">
        <f>N40</f>
        <v>0</v>
      </c>
      <c r="O39" s="40">
        <f>O40</f>
        <v>0</v>
      </c>
      <c r="Q39" s="36" t="s">
        <v>219</v>
      </c>
      <c r="R39" s="73">
        <v>1720</v>
      </c>
      <c r="S39" s="73">
        <v>510</v>
      </c>
      <c r="T39" s="40">
        <f>T40</f>
        <v>0</v>
      </c>
      <c r="U39" s="40">
        <f>U40</f>
        <v>0</v>
      </c>
      <c r="V39" s="40">
        <f>V40</f>
        <v>0</v>
      </c>
      <c r="W39" s="40">
        <f>W40</f>
        <v>0</v>
      </c>
      <c r="Y39" s="36" t="s">
        <v>219</v>
      </c>
      <c r="Z39" s="73">
        <v>1720</v>
      </c>
      <c r="AA39" s="73">
        <v>510</v>
      </c>
      <c r="AB39" s="40">
        <f>AB40</f>
        <v>0</v>
      </c>
      <c r="AC39" s="40">
        <f>AC40</f>
        <v>0</v>
      </c>
      <c r="AD39" s="40">
        <f>AD40</f>
        <v>0</v>
      </c>
      <c r="AE39" s="40">
        <f>AE40</f>
        <v>0</v>
      </c>
      <c r="AG39" s="36" t="s">
        <v>219</v>
      </c>
      <c r="AH39" s="73">
        <v>1720</v>
      </c>
      <c r="AI39" s="73">
        <v>510</v>
      </c>
      <c r="AJ39" s="40">
        <f>AJ40</f>
        <v>0</v>
      </c>
      <c r="AK39" s="40">
        <f>AK40</f>
        <v>0</v>
      </c>
      <c r="AL39" s="40">
        <f>AL40</f>
        <v>0</v>
      </c>
      <c r="AM39" s="40">
        <f>AM40</f>
        <v>0</v>
      </c>
    </row>
    <row r="40" spans="1:39" ht="31.5" hidden="1">
      <c r="A40" s="41" t="s">
        <v>218</v>
      </c>
      <c r="B40" s="73">
        <v>1721</v>
      </c>
      <c r="C40" s="73">
        <v>510</v>
      </c>
      <c r="D40" s="40">
        <f>L40+T40+AB40+AJ40</f>
        <v>0</v>
      </c>
      <c r="E40" s="40">
        <f>M40+U40+AC40+AK40</f>
        <v>0</v>
      </c>
      <c r="F40" s="40">
        <f>N40+V40+AD40+AL40</f>
        <v>0</v>
      </c>
      <c r="G40" s="40">
        <f>O40+W40+AE40+AM40</f>
        <v>0</v>
      </c>
      <c r="I40" s="41" t="s">
        <v>218</v>
      </c>
      <c r="J40" s="73">
        <v>1721</v>
      </c>
      <c r="K40" s="73">
        <v>510</v>
      </c>
      <c r="L40" s="40"/>
      <c r="M40" s="40"/>
      <c r="N40" s="40"/>
      <c r="O40" s="40"/>
      <c r="Q40" s="41" t="s">
        <v>218</v>
      </c>
      <c r="R40" s="73">
        <v>1721</v>
      </c>
      <c r="S40" s="73">
        <v>510</v>
      </c>
      <c r="T40" s="40"/>
      <c r="U40" s="40"/>
      <c r="V40" s="40"/>
      <c r="W40" s="40"/>
      <c r="Y40" s="41" t="s">
        <v>218</v>
      </c>
      <c r="Z40" s="73">
        <v>1721</v>
      </c>
      <c r="AA40" s="73">
        <v>510</v>
      </c>
      <c r="AB40" s="40"/>
      <c r="AC40" s="40"/>
      <c r="AD40" s="40"/>
      <c r="AE40" s="40"/>
      <c r="AG40" s="41" t="s">
        <v>218</v>
      </c>
      <c r="AH40" s="73">
        <v>1721</v>
      </c>
      <c r="AI40" s="73">
        <v>510</v>
      </c>
      <c r="AJ40" s="40"/>
      <c r="AK40" s="40"/>
      <c r="AL40" s="40"/>
      <c r="AM40" s="40"/>
    </row>
    <row r="41" spans="1:39" s="93" customFormat="1" ht="30.75" customHeight="1">
      <c r="A41" s="65" t="s">
        <v>220</v>
      </c>
      <c r="B41" s="73">
        <v>2000</v>
      </c>
      <c r="C41" s="73" t="s">
        <v>203</v>
      </c>
      <c r="D41" s="40">
        <f>D42+D47+D52+D57+D59+D61</f>
        <v>46238225.05</v>
      </c>
      <c r="E41" s="40">
        <f>E42+E47+E52+E57+E59+E61</f>
        <v>37533400</v>
      </c>
      <c r="F41" s="40">
        <f>F42+F47+F52+F57+F59+F61</f>
        <v>37636200</v>
      </c>
      <c r="G41" s="40">
        <f>G42+G47+G52+G57+G59+G61</f>
        <v>0</v>
      </c>
      <c r="I41" s="65" t="s">
        <v>220</v>
      </c>
      <c r="J41" s="73">
        <v>2000</v>
      </c>
      <c r="K41" s="73" t="s">
        <v>203</v>
      </c>
      <c r="L41" s="40">
        <f>L42+L47+L52+L57+L59+L61</f>
        <v>8972406.25</v>
      </c>
      <c r="M41" s="40">
        <f>M42+M47+M52+M57+M59+M61</f>
        <v>9780400</v>
      </c>
      <c r="N41" s="40">
        <f>N42+N47+N52+N57+N59+N61</f>
        <v>9894900</v>
      </c>
      <c r="O41" s="40">
        <f>O42+O47+O52+O57+O59+O61</f>
        <v>0</v>
      </c>
      <c r="Q41" s="65" t="s">
        <v>220</v>
      </c>
      <c r="R41" s="73">
        <v>2000</v>
      </c>
      <c r="S41" s="73" t="s">
        <v>203</v>
      </c>
      <c r="T41" s="40">
        <f>T42+T47+T52+T57+T59+T61</f>
        <v>24955000</v>
      </c>
      <c r="U41" s="40">
        <f>U42+U47+U52+U57+U59+U61</f>
        <v>24193400</v>
      </c>
      <c r="V41" s="40">
        <f>V42+V47+V52+V57+V59+V61</f>
        <v>24181700</v>
      </c>
      <c r="W41" s="40">
        <f>W42+W47+W52+W57+W59+W61</f>
        <v>0</v>
      </c>
      <c r="Y41" s="65" t="s">
        <v>220</v>
      </c>
      <c r="Z41" s="73">
        <v>2000</v>
      </c>
      <c r="AA41" s="73" t="s">
        <v>203</v>
      </c>
      <c r="AB41" s="40">
        <f>AB42+AB47+AB52+AB57+AB59+AB61</f>
        <v>8439610.8</v>
      </c>
      <c r="AC41" s="40">
        <f>AC42+AC47+AC52+AC57+AC59+AC61</f>
        <v>0</v>
      </c>
      <c r="AD41" s="40">
        <f>AD42+AD47+AD52+AD57+AD59+AD61</f>
        <v>0</v>
      </c>
      <c r="AE41" s="40">
        <f>AE42+AE47+AE52+AE57+AE59+AE61</f>
        <v>0</v>
      </c>
      <c r="AG41" s="65" t="s">
        <v>220</v>
      </c>
      <c r="AH41" s="73">
        <v>2000</v>
      </c>
      <c r="AI41" s="73" t="s">
        <v>203</v>
      </c>
      <c r="AJ41" s="40">
        <f>AJ42+AJ47+AJ52+AJ57+AJ59+AJ61</f>
        <v>3871208</v>
      </c>
      <c r="AK41" s="40">
        <f>AK42+AK47+AK52+AK57+AK59+AK61</f>
        <v>3559600</v>
      </c>
      <c r="AL41" s="40">
        <f>AL42+AL47+AL52+AL57+AL59+AL61</f>
        <v>3559600</v>
      </c>
      <c r="AM41" s="40">
        <f>AM42+AM47+AM52+AM57+AM59+AM61</f>
        <v>0</v>
      </c>
    </row>
    <row r="42" spans="1:39" s="93" customFormat="1" ht="31.5">
      <c r="A42" s="28" t="s">
        <v>221</v>
      </c>
      <c r="B42" s="73">
        <v>2100</v>
      </c>
      <c r="C42" s="73" t="s">
        <v>203</v>
      </c>
      <c r="D42" s="40">
        <f>D43+D44+D45+D46</f>
        <v>31704692.369999997</v>
      </c>
      <c r="E42" s="40">
        <f>E43+E44+E45+E46</f>
        <v>26856600</v>
      </c>
      <c r="F42" s="40">
        <f>F43+F44+F45+F46</f>
        <v>26959400</v>
      </c>
      <c r="G42" s="40">
        <f>G43+G44+G45+G46</f>
        <v>0</v>
      </c>
      <c r="I42" s="28" t="s">
        <v>221</v>
      </c>
      <c r="J42" s="73">
        <v>2100</v>
      </c>
      <c r="K42" s="73" t="s">
        <v>203</v>
      </c>
      <c r="L42" s="40">
        <f>L43+L44+L45+L46</f>
        <v>2316100</v>
      </c>
      <c r="M42" s="40">
        <f>M43+M44+M45+M46</f>
        <v>3294400</v>
      </c>
      <c r="N42" s="40">
        <f>N43+N44+N45+N46</f>
        <v>3408900</v>
      </c>
      <c r="O42" s="40">
        <f>O43+O44+O45+O46</f>
        <v>0</v>
      </c>
      <c r="Q42" s="28" t="s">
        <v>221</v>
      </c>
      <c r="R42" s="73">
        <v>2100</v>
      </c>
      <c r="S42" s="73" t="s">
        <v>203</v>
      </c>
      <c r="T42" s="40">
        <f>T43+T44+T45+T46</f>
        <v>23143900</v>
      </c>
      <c r="U42" s="40">
        <f>U43+U44+U45+U46</f>
        <v>23283900</v>
      </c>
      <c r="V42" s="40">
        <f>V43+V44+V45+V46</f>
        <v>23272200</v>
      </c>
      <c r="W42" s="40">
        <f>W43+W44+W45+W46</f>
        <v>0</v>
      </c>
      <c r="Y42" s="28" t="s">
        <v>221</v>
      </c>
      <c r="Z42" s="73">
        <v>2100</v>
      </c>
      <c r="AA42" s="73" t="s">
        <v>203</v>
      </c>
      <c r="AB42" s="40">
        <f>AB43+AB44+AB45+AB46</f>
        <v>5966443.6</v>
      </c>
      <c r="AC42" s="40">
        <f>AC43+AC44+AC45+AC46</f>
        <v>0</v>
      </c>
      <c r="AD42" s="40">
        <f>AD43+AD44+AD45+AD46</f>
        <v>0</v>
      </c>
      <c r="AE42" s="40">
        <f>AE43+AE44+AE45+AE46</f>
        <v>0</v>
      </c>
      <c r="AG42" s="28" t="s">
        <v>221</v>
      </c>
      <c r="AH42" s="73">
        <v>2100</v>
      </c>
      <c r="AI42" s="73" t="s">
        <v>203</v>
      </c>
      <c r="AJ42" s="40">
        <f>AJ43+AJ44+AJ45+AJ46</f>
        <v>278248.77</v>
      </c>
      <c r="AK42" s="40">
        <f>AK43+AK44+AK45+AK46</f>
        <v>278300</v>
      </c>
      <c r="AL42" s="40">
        <f>AL43+AL44+AL45+AL46</f>
        <v>278300</v>
      </c>
      <c r="AM42" s="40">
        <f>AM43+AM44+AM45+AM46</f>
        <v>0</v>
      </c>
    </row>
    <row r="43" spans="1:39" ht="35.25" customHeight="1">
      <c r="A43" s="36" t="s">
        <v>222</v>
      </c>
      <c r="B43" s="73">
        <v>2110</v>
      </c>
      <c r="C43" s="73">
        <v>111</v>
      </c>
      <c r="D43" s="40">
        <f>L43+T43+AB43+AJ43</f>
        <v>24096417.779999997</v>
      </c>
      <c r="E43" s="40">
        <f aca="true" t="shared" si="8" ref="E43:G46">M43+U43+AC43+AK43</f>
        <v>20448200</v>
      </c>
      <c r="F43" s="40">
        <f t="shared" si="8"/>
        <v>20448000</v>
      </c>
      <c r="G43" s="40">
        <f t="shared" si="8"/>
        <v>0</v>
      </c>
      <c r="I43" s="36" t="s">
        <v>222</v>
      </c>
      <c r="J43" s="73">
        <v>2110</v>
      </c>
      <c r="K43" s="73">
        <v>111</v>
      </c>
      <c r="L43" s="52">
        <f>1772200+6700</f>
        <v>1778900</v>
      </c>
      <c r="M43" s="52">
        <f>1772200+6700-12600</f>
        <v>1766300</v>
      </c>
      <c r="N43" s="52">
        <f>1772200+6700-12800</f>
        <v>1766100</v>
      </c>
      <c r="O43" s="40"/>
      <c r="Q43" s="36" t="s">
        <v>222</v>
      </c>
      <c r="R43" s="73">
        <v>2110</v>
      </c>
      <c r="S43" s="73">
        <v>111</v>
      </c>
      <c r="T43" s="52">
        <f>18400100+68000+101300-692500</f>
        <v>17876900</v>
      </c>
      <c r="U43" s="52">
        <f>18400100+68000</f>
        <v>18468100</v>
      </c>
      <c r="V43" s="52">
        <f>18400100+68000</f>
        <v>18468100</v>
      </c>
      <c r="W43" s="40"/>
      <c r="Y43" s="36" t="s">
        <v>222</v>
      </c>
      <c r="Z43" s="73">
        <v>2110</v>
      </c>
      <c r="AA43" s="73">
        <v>111</v>
      </c>
      <c r="AB43" s="40">
        <f>'Иные цели'!D43</f>
        <v>4226839.04</v>
      </c>
      <c r="AC43" s="40"/>
      <c r="AD43" s="40"/>
      <c r="AE43" s="40"/>
      <c r="AG43" s="36" t="s">
        <v>222</v>
      </c>
      <c r="AH43" s="73">
        <v>2110</v>
      </c>
      <c r="AI43" s="73">
        <v>111</v>
      </c>
      <c r="AJ43" s="52">
        <v>213778.74</v>
      </c>
      <c r="AK43" s="52">
        <v>213800</v>
      </c>
      <c r="AL43" s="52">
        <v>213800</v>
      </c>
      <c r="AM43" s="40"/>
    </row>
    <row r="44" spans="1:39" ht="31.5" customHeight="1">
      <c r="A44" s="36" t="s">
        <v>73</v>
      </c>
      <c r="B44" s="73">
        <v>2120</v>
      </c>
      <c r="C44" s="73">
        <v>112</v>
      </c>
      <c r="D44" s="40">
        <f>L44+T44+AB44+AJ44</f>
        <v>463100</v>
      </c>
      <c r="E44" s="40">
        <f t="shared" si="8"/>
        <v>0</v>
      </c>
      <c r="F44" s="40">
        <f t="shared" si="8"/>
        <v>0</v>
      </c>
      <c r="G44" s="40">
        <f t="shared" si="8"/>
        <v>0</v>
      </c>
      <c r="I44" s="36" t="s">
        <v>73</v>
      </c>
      <c r="J44" s="73">
        <v>2120</v>
      </c>
      <c r="K44" s="73">
        <v>112</v>
      </c>
      <c r="L44" s="215"/>
      <c r="M44" s="40"/>
      <c r="N44" s="40"/>
      <c r="O44" s="40"/>
      <c r="Q44" s="36" t="s">
        <v>73</v>
      </c>
      <c r="R44" s="73">
        <v>2120</v>
      </c>
      <c r="S44" s="73">
        <v>112</v>
      </c>
      <c r="T44" s="40">
        <v>0</v>
      </c>
      <c r="U44" s="40">
        <v>0</v>
      </c>
      <c r="V44" s="40">
        <v>0</v>
      </c>
      <c r="W44" s="40"/>
      <c r="Y44" s="36" t="s">
        <v>73</v>
      </c>
      <c r="Z44" s="73">
        <v>2120</v>
      </c>
      <c r="AA44" s="73">
        <v>112</v>
      </c>
      <c r="AB44" s="40">
        <f>'Иные цели'!D44</f>
        <v>463100</v>
      </c>
      <c r="AC44" s="40"/>
      <c r="AD44" s="40"/>
      <c r="AE44" s="40"/>
      <c r="AG44" s="36" t="s">
        <v>73</v>
      </c>
      <c r="AH44" s="73">
        <v>2120</v>
      </c>
      <c r="AI44" s="73">
        <v>112</v>
      </c>
      <c r="AJ44" s="40"/>
      <c r="AK44" s="40"/>
      <c r="AL44" s="40"/>
      <c r="AM44" s="40"/>
    </row>
    <row r="45" spans="1:39" ht="37.5" customHeight="1">
      <c r="A45" s="36" t="s">
        <v>74</v>
      </c>
      <c r="B45" s="73">
        <v>2130</v>
      </c>
      <c r="C45" s="73">
        <v>113</v>
      </c>
      <c r="D45" s="40">
        <f>L45+T45+AB45+AJ45</f>
        <v>0</v>
      </c>
      <c r="E45" s="40">
        <f t="shared" si="8"/>
        <v>0</v>
      </c>
      <c r="F45" s="40">
        <f t="shared" si="8"/>
        <v>0</v>
      </c>
      <c r="G45" s="40">
        <f t="shared" si="8"/>
        <v>0</v>
      </c>
      <c r="I45" s="36" t="s">
        <v>74</v>
      </c>
      <c r="J45" s="73">
        <v>2130</v>
      </c>
      <c r="K45" s="73">
        <v>113</v>
      </c>
      <c r="L45" s="215"/>
      <c r="M45" s="40"/>
      <c r="N45" s="40"/>
      <c r="O45" s="40"/>
      <c r="Q45" s="36" t="s">
        <v>74</v>
      </c>
      <c r="R45" s="73">
        <v>2130</v>
      </c>
      <c r="S45" s="73">
        <v>113</v>
      </c>
      <c r="T45" s="40"/>
      <c r="U45" s="40"/>
      <c r="V45" s="40"/>
      <c r="W45" s="40"/>
      <c r="Y45" s="36" t="s">
        <v>74</v>
      </c>
      <c r="Z45" s="73">
        <v>2130</v>
      </c>
      <c r="AA45" s="73">
        <v>113</v>
      </c>
      <c r="AB45" s="40">
        <f>'Иные цели'!D45</f>
        <v>0</v>
      </c>
      <c r="AC45" s="40"/>
      <c r="AD45" s="40"/>
      <c r="AE45" s="40"/>
      <c r="AG45" s="36" t="s">
        <v>74</v>
      </c>
      <c r="AH45" s="73">
        <v>2130</v>
      </c>
      <c r="AI45" s="73">
        <v>113</v>
      </c>
      <c r="AJ45" s="40"/>
      <c r="AK45" s="40"/>
      <c r="AL45" s="40"/>
      <c r="AM45" s="40"/>
    </row>
    <row r="46" spans="1:39" ht="38.25" customHeight="1">
      <c r="A46" s="36" t="s">
        <v>223</v>
      </c>
      <c r="B46" s="73">
        <v>2140</v>
      </c>
      <c r="C46" s="73">
        <v>119</v>
      </c>
      <c r="D46" s="40">
        <f>L46+T46+AB46+AJ46</f>
        <v>7145174.590000001</v>
      </c>
      <c r="E46" s="40">
        <f t="shared" si="8"/>
        <v>6408400</v>
      </c>
      <c r="F46" s="40">
        <f t="shared" si="8"/>
        <v>6511400</v>
      </c>
      <c r="G46" s="40">
        <f t="shared" si="8"/>
        <v>0</v>
      </c>
      <c r="I46" s="36" t="s">
        <v>223</v>
      </c>
      <c r="J46" s="73">
        <v>2140</v>
      </c>
      <c r="K46" s="73">
        <v>119</v>
      </c>
      <c r="L46" s="52">
        <v>537200</v>
      </c>
      <c r="M46" s="52">
        <f>537200+994700-3800</f>
        <v>1528100</v>
      </c>
      <c r="N46" s="52">
        <f>537200+1109500-3900</f>
        <v>1642800</v>
      </c>
      <c r="O46" s="40"/>
      <c r="Q46" s="36" t="s">
        <v>223</v>
      </c>
      <c r="R46" s="73">
        <v>2140</v>
      </c>
      <c r="S46" s="73">
        <v>119</v>
      </c>
      <c r="T46" s="52">
        <f>5577400-101300-209100</f>
        <v>5267000</v>
      </c>
      <c r="U46" s="52">
        <f>5577400-761600</f>
        <v>4815800</v>
      </c>
      <c r="V46" s="52">
        <f>5577400-773300</f>
        <v>4804100</v>
      </c>
      <c r="W46" s="40"/>
      <c r="Y46" s="36" t="s">
        <v>223</v>
      </c>
      <c r="Z46" s="73">
        <v>2140</v>
      </c>
      <c r="AA46" s="73">
        <v>119</v>
      </c>
      <c r="AB46" s="40">
        <f>'Иные цели'!D46</f>
        <v>1276504.56</v>
      </c>
      <c r="AC46" s="40"/>
      <c r="AD46" s="40"/>
      <c r="AE46" s="40"/>
      <c r="AG46" s="36" t="s">
        <v>223</v>
      </c>
      <c r="AH46" s="73">
        <v>2140</v>
      </c>
      <c r="AI46" s="73">
        <v>119</v>
      </c>
      <c r="AJ46" s="52">
        <v>64470.03</v>
      </c>
      <c r="AK46" s="52">
        <v>64500</v>
      </c>
      <c r="AL46" s="52">
        <v>64500</v>
      </c>
      <c r="AM46" s="40"/>
    </row>
    <row r="47" spans="1:39" s="93" customFormat="1" ht="25.5" customHeight="1">
      <c r="A47" s="28" t="s">
        <v>224</v>
      </c>
      <c r="B47" s="73">
        <v>2200</v>
      </c>
      <c r="C47" s="31">
        <v>300</v>
      </c>
      <c r="D47" s="40">
        <f>D48+D49+D51+D50</f>
        <v>86587.2</v>
      </c>
      <c r="E47" s="40">
        <f>E48+E49+E51</f>
        <v>0</v>
      </c>
      <c r="F47" s="40">
        <f>F48+F49+F51</f>
        <v>0</v>
      </c>
      <c r="G47" s="40">
        <f>G48+G49</f>
        <v>0</v>
      </c>
      <c r="I47" s="28" t="s">
        <v>224</v>
      </c>
      <c r="J47" s="73">
        <v>2200</v>
      </c>
      <c r="K47" s="73">
        <v>300</v>
      </c>
      <c r="L47" s="40">
        <f>L48+L49+L51</f>
        <v>0</v>
      </c>
      <c r="M47" s="40">
        <f>M48+M49+M51</f>
        <v>0</v>
      </c>
      <c r="N47" s="40">
        <f>N48+N49+N51</f>
        <v>0</v>
      </c>
      <c r="O47" s="40">
        <f>O48+O49+O51</f>
        <v>0</v>
      </c>
      <c r="Q47" s="28" t="s">
        <v>224</v>
      </c>
      <c r="R47" s="73">
        <v>2200</v>
      </c>
      <c r="S47" s="73">
        <v>300</v>
      </c>
      <c r="T47" s="40">
        <f>T48+T49+T51</f>
        <v>0</v>
      </c>
      <c r="U47" s="40">
        <f>U48+U49+U51</f>
        <v>0</v>
      </c>
      <c r="V47" s="40">
        <f>V48+V49+V51</f>
        <v>0</v>
      </c>
      <c r="W47" s="40">
        <f>W48+W49+W51</f>
        <v>0</v>
      </c>
      <c r="Y47" s="28" t="s">
        <v>224</v>
      </c>
      <c r="Z47" s="73">
        <v>2200</v>
      </c>
      <c r="AA47" s="73">
        <v>300</v>
      </c>
      <c r="AB47" s="40">
        <f>AB48+AB49+AB51+AB50</f>
        <v>86587.2</v>
      </c>
      <c r="AC47" s="40">
        <f>AC48+AC49+AC51</f>
        <v>0</v>
      </c>
      <c r="AD47" s="40">
        <f>AD48+AD49+AD51</f>
        <v>0</v>
      </c>
      <c r="AE47" s="40">
        <f>AE48+AE49+AE51</f>
        <v>0</v>
      </c>
      <c r="AG47" s="28" t="s">
        <v>224</v>
      </c>
      <c r="AH47" s="73">
        <v>2200</v>
      </c>
      <c r="AI47" s="73">
        <v>300</v>
      </c>
      <c r="AJ47" s="40">
        <f>AJ48+AJ49+AJ51</f>
        <v>0</v>
      </c>
      <c r="AK47" s="40">
        <f>AK48+AK49+AK51</f>
        <v>0</v>
      </c>
      <c r="AL47" s="40">
        <f>AL48+AL49+AL51</f>
        <v>0</v>
      </c>
      <c r="AM47" s="40">
        <f>AM48+AM49+AM51</f>
        <v>0</v>
      </c>
    </row>
    <row r="48" spans="1:39" ht="34.5" customHeight="1">
      <c r="A48" s="37" t="s">
        <v>225</v>
      </c>
      <c r="B48" s="73">
        <v>2210</v>
      </c>
      <c r="C48" s="73">
        <v>320</v>
      </c>
      <c r="D48" s="40">
        <f aca="true" t="shared" si="9" ref="D48:G49">L48+T48+AB48+AJ48</f>
        <v>0</v>
      </c>
      <c r="E48" s="40">
        <f t="shared" si="9"/>
        <v>0</v>
      </c>
      <c r="F48" s="40">
        <f t="shared" si="9"/>
        <v>0</v>
      </c>
      <c r="G48" s="40">
        <f t="shared" si="9"/>
        <v>0</v>
      </c>
      <c r="I48" s="37" t="s">
        <v>225</v>
      </c>
      <c r="J48" s="73">
        <v>2210</v>
      </c>
      <c r="K48" s="73">
        <v>320</v>
      </c>
      <c r="L48" s="40"/>
      <c r="M48" s="40"/>
      <c r="N48" s="40"/>
      <c r="O48" s="40"/>
      <c r="Q48" s="37" t="s">
        <v>225</v>
      </c>
      <c r="R48" s="73">
        <v>2210</v>
      </c>
      <c r="S48" s="73">
        <v>320</v>
      </c>
      <c r="T48" s="40"/>
      <c r="U48" s="40"/>
      <c r="V48" s="40"/>
      <c r="W48" s="40"/>
      <c r="Y48" s="37" t="s">
        <v>225</v>
      </c>
      <c r="Z48" s="73">
        <v>2210</v>
      </c>
      <c r="AA48" s="73">
        <v>320</v>
      </c>
      <c r="AB48" s="40"/>
      <c r="AC48" s="40"/>
      <c r="AD48" s="40"/>
      <c r="AE48" s="40"/>
      <c r="AG48" s="37" t="s">
        <v>225</v>
      </c>
      <c r="AH48" s="73">
        <v>2210</v>
      </c>
      <c r="AI48" s="73">
        <v>320</v>
      </c>
      <c r="AJ48" s="40"/>
      <c r="AK48" s="40"/>
      <c r="AL48" s="40"/>
      <c r="AM48" s="40"/>
    </row>
    <row r="49" spans="1:39" ht="33" customHeight="1">
      <c r="A49" s="36" t="s">
        <v>75</v>
      </c>
      <c r="B49" s="73">
        <v>2220</v>
      </c>
      <c r="C49" s="73">
        <v>321</v>
      </c>
      <c r="D49" s="40">
        <f>L49+T49+AB49+AJ49</f>
        <v>45587.2</v>
      </c>
      <c r="E49" s="40">
        <f t="shared" si="9"/>
        <v>0</v>
      </c>
      <c r="F49" s="40">
        <f t="shared" si="9"/>
        <v>0</v>
      </c>
      <c r="G49" s="40">
        <f t="shared" si="9"/>
        <v>0</v>
      </c>
      <c r="I49" s="36" t="s">
        <v>75</v>
      </c>
      <c r="J49" s="73">
        <v>2220</v>
      </c>
      <c r="K49" s="73">
        <v>321</v>
      </c>
      <c r="L49" s="40"/>
      <c r="M49" s="40"/>
      <c r="N49" s="40"/>
      <c r="O49" s="40"/>
      <c r="Q49" s="36" t="s">
        <v>75</v>
      </c>
      <c r="R49" s="73">
        <v>2220</v>
      </c>
      <c r="S49" s="73">
        <v>321</v>
      </c>
      <c r="T49" s="40"/>
      <c r="U49" s="40"/>
      <c r="V49" s="40"/>
      <c r="W49" s="40"/>
      <c r="Y49" s="36" t="s">
        <v>75</v>
      </c>
      <c r="Z49" s="73">
        <v>2220</v>
      </c>
      <c r="AA49" s="73">
        <v>321</v>
      </c>
      <c r="AB49" s="40">
        <f>'Иные цели'!D49</f>
        <v>45587.2</v>
      </c>
      <c r="AC49" s="40"/>
      <c r="AD49" s="40"/>
      <c r="AE49" s="40"/>
      <c r="AG49" s="36" t="s">
        <v>75</v>
      </c>
      <c r="AH49" s="73">
        <v>2220</v>
      </c>
      <c r="AI49" s="73">
        <v>321</v>
      </c>
      <c r="AJ49" s="40"/>
      <c r="AK49" s="40"/>
      <c r="AL49" s="40"/>
      <c r="AM49" s="40"/>
    </row>
    <row r="50" spans="1:39" s="99" customFormat="1" ht="33" customHeight="1">
      <c r="A50" s="36" t="s">
        <v>482</v>
      </c>
      <c r="B50" s="31">
        <v>2230</v>
      </c>
      <c r="C50" s="31">
        <v>323</v>
      </c>
      <c r="D50" s="40">
        <f>L50+T50+AB50+AJ50</f>
        <v>41000</v>
      </c>
      <c r="E50" s="98"/>
      <c r="F50" s="98"/>
      <c r="G50" s="98"/>
      <c r="I50" s="36" t="s">
        <v>482</v>
      </c>
      <c r="J50" s="31">
        <v>2230</v>
      </c>
      <c r="K50" s="31">
        <v>323</v>
      </c>
      <c r="L50" s="98"/>
      <c r="M50" s="98"/>
      <c r="N50" s="98"/>
      <c r="O50" s="98"/>
      <c r="Q50" s="36" t="s">
        <v>482</v>
      </c>
      <c r="R50" s="31">
        <v>2230</v>
      </c>
      <c r="S50" s="31">
        <v>323</v>
      </c>
      <c r="T50" s="98"/>
      <c r="U50" s="98"/>
      <c r="V50" s="98"/>
      <c r="W50" s="98"/>
      <c r="Y50" s="36" t="s">
        <v>482</v>
      </c>
      <c r="Z50" s="31">
        <v>2230</v>
      </c>
      <c r="AA50" s="31">
        <v>323</v>
      </c>
      <c r="AB50" s="98">
        <f>'Иные цели'!D50</f>
        <v>41000</v>
      </c>
      <c r="AC50" s="98"/>
      <c r="AD50" s="98"/>
      <c r="AE50" s="98"/>
      <c r="AG50" s="36" t="s">
        <v>482</v>
      </c>
      <c r="AH50" s="31">
        <v>2230</v>
      </c>
      <c r="AI50" s="31">
        <v>323</v>
      </c>
      <c r="AJ50" s="98"/>
      <c r="AK50" s="98"/>
      <c r="AL50" s="98"/>
      <c r="AM50" s="98"/>
    </row>
    <row r="51" spans="1:39" s="99" customFormat="1" ht="27" customHeight="1">
      <c r="A51" s="36" t="s">
        <v>303</v>
      </c>
      <c r="B51" s="31">
        <v>2240</v>
      </c>
      <c r="C51" s="31">
        <v>350</v>
      </c>
      <c r="D51" s="98">
        <f>L51+T51+AB51+AJ51</f>
        <v>0</v>
      </c>
      <c r="E51" s="98">
        <f>M51+U51+AC51+AK51</f>
        <v>0</v>
      </c>
      <c r="F51" s="98">
        <f>N51+V51+AD51+AL51</f>
        <v>0</v>
      </c>
      <c r="G51" s="98">
        <f>O51+W51+AE51+AM51</f>
        <v>0</v>
      </c>
      <c r="I51" s="36" t="s">
        <v>303</v>
      </c>
      <c r="J51" s="31">
        <v>2240</v>
      </c>
      <c r="K51" s="31">
        <v>350</v>
      </c>
      <c r="L51" s="98"/>
      <c r="M51" s="98"/>
      <c r="N51" s="98"/>
      <c r="O51" s="98"/>
      <c r="Q51" s="36" t="s">
        <v>303</v>
      </c>
      <c r="R51" s="31">
        <v>2240</v>
      </c>
      <c r="S51" s="31">
        <v>350</v>
      </c>
      <c r="T51" s="98"/>
      <c r="U51" s="98"/>
      <c r="V51" s="98"/>
      <c r="W51" s="98"/>
      <c r="Y51" s="36" t="s">
        <v>303</v>
      </c>
      <c r="Z51" s="31">
        <v>2240</v>
      </c>
      <c r="AA51" s="31">
        <v>350</v>
      </c>
      <c r="AB51" s="98">
        <f>'Иные цели'!D51</f>
        <v>0</v>
      </c>
      <c r="AC51" s="98"/>
      <c r="AD51" s="98"/>
      <c r="AE51" s="98"/>
      <c r="AG51" s="36" t="s">
        <v>303</v>
      </c>
      <c r="AH51" s="31">
        <v>2240</v>
      </c>
      <c r="AI51" s="31">
        <v>350</v>
      </c>
      <c r="AJ51" s="98"/>
      <c r="AK51" s="98"/>
      <c r="AL51" s="98"/>
      <c r="AM51" s="98"/>
    </row>
    <row r="52" spans="1:39" s="93" customFormat="1" ht="26.25" customHeight="1">
      <c r="A52" s="28" t="s">
        <v>226</v>
      </c>
      <c r="B52" s="73">
        <v>2300</v>
      </c>
      <c r="C52" s="73">
        <v>850</v>
      </c>
      <c r="D52" s="40">
        <f>D53+D54+D55+D56</f>
        <v>2396832.33</v>
      </c>
      <c r="E52" s="40">
        <f>E53+E54+E55+E56</f>
        <v>2392100</v>
      </c>
      <c r="F52" s="40">
        <f>F53+F54+F55+F56</f>
        <v>2392100</v>
      </c>
      <c r="G52" s="40">
        <f>G53+G54+G55+G56</f>
        <v>0</v>
      </c>
      <c r="I52" s="28" t="s">
        <v>226</v>
      </c>
      <c r="J52" s="73">
        <v>2300</v>
      </c>
      <c r="K52" s="73">
        <v>850</v>
      </c>
      <c r="L52" s="40">
        <f>L53+L54+L55+L56</f>
        <v>2392100</v>
      </c>
      <c r="M52" s="40">
        <f>M53+M54+M55+M56</f>
        <v>2392100</v>
      </c>
      <c r="N52" s="40">
        <f>N53+N54+N55+N56</f>
        <v>2392100</v>
      </c>
      <c r="O52" s="40">
        <f>O53+O54+O55+O56</f>
        <v>0</v>
      </c>
      <c r="Q52" s="28" t="s">
        <v>226</v>
      </c>
      <c r="R52" s="73">
        <v>2300</v>
      </c>
      <c r="S52" s="73">
        <v>850</v>
      </c>
      <c r="T52" s="40">
        <f>T53+T54+T55+T56</f>
        <v>0</v>
      </c>
      <c r="U52" s="40">
        <f>U53+U54+U55+U56</f>
        <v>0</v>
      </c>
      <c r="V52" s="40">
        <f>V53+V54+V55+V56</f>
        <v>0</v>
      </c>
      <c r="W52" s="40">
        <f>W53+W54+W55+W56</f>
        <v>0</v>
      </c>
      <c r="Y52" s="28" t="s">
        <v>226</v>
      </c>
      <c r="Z52" s="73">
        <v>2300</v>
      </c>
      <c r="AA52" s="73">
        <v>850</v>
      </c>
      <c r="AB52" s="40">
        <f>AB53+AB54+AB55+AB56</f>
        <v>0</v>
      </c>
      <c r="AC52" s="40">
        <f>AC53+AC54+AC55+AC56</f>
        <v>0</v>
      </c>
      <c r="AD52" s="40">
        <f>AD53+AD54+AD55+AD56</f>
        <v>0</v>
      </c>
      <c r="AE52" s="40">
        <f>AE53+AE54+AE55+AE56</f>
        <v>0</v>
      </c>
      <c r="AG52" s="28" t="s">
        <v>226</v>
      </c>
      <c r="AH52" s="73">
        <v>2300</v>
      </c>
      <c r="AI52" s="73">
        <v>850</v>
      </c>
      <c r="AJ52" s="40">
        <f>AJ53+AJ54+AJ55+AJ56</f>
        <v>4732.33</v>
      </c>
      <c r="AK52" s="40">
        <f>AK53+AK54+AK55+AK56</f>
        <v>0</v>
      </c>
      <c r="AL52" s="40">
        <f>AL53+AL54+AL55+AL56</f>
        <v>0</v>
      </c>
      <c r="AM52" s="40">
        <f>AM53+AM54+AM55+AM56</f>
        <v>0</v>
      </c>
    </row>
    <row r="53" spans="1:39" ht="34.5" customHeight="1">
      <c r="A53" s="36" t="s">
        <v>228</v>
      </c>
      <c r="B53" s="73">
        <v>2310</v>
      </c>
      <c r="C53" s="73">
        <v>851</v>
      </c>
      <c r="D53" s="40">
        <f aca="true" t="shared" si="10" ref="D53:G56">L53+T53+AB53+AJ53</f>
        <v>2391900</v>
      </c>
      <c r="E53" s="40">
        <f t="shared" si="10"/>
        <v>2392100</v>
      </c>
      <c r="F53" s="40">
        <f t="shared" si="10"/>
        <v>2392100</v>
      </c>
      <c r="G53" s="40">
        <f t="shared" si="10"/>
        <v>0</v>
      </c>
      <c r="I53" s="36" t="s">
        <v>228</v>
      </c>
      <c r="J53" s="73">
        <v>2310</v>
      </c>
      <c r="K53" s="73">
        <v>851</v>
      </c>
      <c r="L53" s="40">
        <f>2392100-200</f>
        <v>2391900</v>
      </c>
      <c r="M53" s="40">
        <v>2392100</v>
      </c>
      <c r="N53" s="40">
        <v>2392100</v>
      </c>
      <c r="O53" s="40"/>
      <c r="Q53" s="36" t="s">
        <v>228</v>
      </c>
      <c r="R53" s="73">
        <v>2310</v>
      </c>
      <c r="S53" s="73">
        <v>851</v>
      </c>
      <c r="T53" s="40"/>
      <c r="U53" s="40"/>
      <c r="V53" s="40"/>
      <c r="W53" s="40"/>
      <c r="Y53" s="36" t="s">
        <v>228</v>
      </c>
      <c r="Z53" s="73">
        <v>2310</v>
      </c>
      <c r="AA53" s="73">
        <v>851</v>
      </c>
      <c r="AB53" s="40">
        <f>'Иные цели'!D53</f>
        <v>0</v>
      </c>
      <c r="AC53" s="40"/>
      <c r="AD53" s="40"/>
      <c r="AE53" s="40"/>
      <c r="AG53" s="36" t="s">
        <v>228</v>
      </c>
      <c r="AH53" s="73">
        <v>2310</v>
      </c>
      <c r="AI53" s="73">
        <v>851</v>
      </c>
      <c r="AJ53" s="40">
        <v>0</v>
      </c>
      <c r="AK53" s="40">
        <v>0</v>
      </c>
      <c r="AL53" s="40">
        <v>0</v>
      </c>
      <c r="AM53" s="40"/>
    </row>
    <row r="54" spans="1:39" ht="24" customHeight="1" hidden="1">
      <c r="A54" s="36" t="s">
        <v>76</v>
      </c>
      <c r="B54" s="73">
        <v>2320</v>
      </c>
      <c r="C54" s="73">
        <v>852</v>
      </c>
      <c r="D54" s="40">
        <f t="shared" si="10"/>
        <v>0</v>
      </c>
      <c r="E54" s="40">
        <f t="shared" si="10"/>
        <v>0</v>
      </c>
      <c r="F54" s="40">
        <f t="shared" si="10"/>
        <v>0</v>
      </c>
      <c r="G54" s="40">
        <f t="shared" si="10"/>
        <v>0</v>
      </c>
      <c r="I54" s="36" t="s">
        <v>76</v>
      </c>
      <c r="J54" s="73">
        <v>2320</v>
      </c>
      <c r="K54" s="73">
        <v>852</v>
      </c>
      <c r="L54" s="94"/>
      <c r="M54" s="40">
        <v>0</v>
      </c>
      <c r="N54" s="40">
        <v>0</v>
      </c>
      <c r="O54" s="40"/>
      <c r="Q54" s="36" t="s">
        <v>76</v>
      </c>
      <c r="R54" s="73">
        <v>2320</v>
      </c>
      <c r="S54" s="73">
        <v>852</v>
      </c>
      <c r="T54" s="40"/>
      <c r="U54" s="40"/>
      <c r="V54" s="40"/>
      <c r="W54" s="40"/>
      <c r="Y54" s="36" t="s">
        <v>76</v>
      </c>
      <c r="Z54" s="73">
        <v>2320</v>
      </c>
      <c r="AA54" s="73">
        <v>852</v>
      </c>
      <c r="AB54" s="40">
        <f>'Иные цели'!D54</f>
        <v>0</v>
      </c>
      <c r="AC54" s="40"/>
      <c r="AD54" s="40"/>
      <c r="AE54" s="40"/>
      <c r="AG54" s="36" t="s">
        <v>76</v>
      </c>
      <c r="AH54" s="73">
        <v>2320</v>
      </c>
      <c r="AI54" s="73">
        <v>852</v>
      </c>
      <c r="AJ54" s="40">
        <v>0</v>
      </c>
      <c r="AK54" s="40">
        <v>0</v>
      </c>
      <c r="AL54" s="40">
        <v>0</v>
      </c>
      <c r="AM54" s="40"/>
    </row>
    <row r="55" spans="1:39" ht="39" customHeight="1">
      <c r="A55" s="36" t="s">
        <v>227</v>
      </c>
      <c r="B55" s="73">
        <v>2330</v>
      </c>
      <c r="C55" s="73">
        <v>852</v>
      </c>
      <c r="D55" s="40">
        <f t="shared" si="10"/>
        <v>0</v>
      </c>
      <c r="E55" s="40">
        <f t="shared" si="10"/>
        <v>0</v>
      </c>
      <c r="F55" s="40">
        <f t="shared" si="10"/>
        <v>0</v>
      </c>
      <c r="G55" s="40">
        <f t="shared" si="10"/>
        <v>0</v>
      </c>
      <c r="I55" s="36" t="s">
        <v>227</v>
      </c>
      <c r="J55" s="73">
        <v>2330</v>
      </c>
      <c r="K55" s="73">
        <v>852</v>
      </c>
      <c r="L55" s="40"/>
      <c r="M55" s="40"/>
      <c r="N55" s="40"/>
      <c r="O55" s="40"/>
      <c r="Q55" s="36" t="s">
        <v>227</v>
      </c>
      <c r="R55" s="73">
        <v>2330</v>
      </c>
      <c r="S55" s="73">
        <v>852</v>
      </c>
      <c r="T55" s="40"/>
      <c r="U55" s="40"/>
      <c r="V55" s="40"/>
      <c r="W55" s="40"/>
      <c r="Y55" s="36" t="s">
        <v>227</v>
      </c>
      <c r="Z55" s="73">
        <v>2330</v>
      </c>
      <c r="AA55" s="73">
        <v>852</v>
      </c>
      <c r="AB55" s="40">
        <f>'Иные цели'!D55</f>
        <v>0</v>
      </c>
      <c r="AC55" s="40"/>
      <c r="AD55" s="40"/>
      <c r="AE55" s="40"/>
      <c r="AG55" s="36" t="s">
        <v>227</v>
      </c>
      <c r="AH55" s="73">
        <v>2330</v>
      </c>
      <c r="AI55" s="73">
        <v>852</v>
      </c>
      <c r="AJ55" s="40">
        <v>0</v>
      </c>
      <c r="AK55" s="40">
        <v>0</v>
      </c>
      <c r="AL55" s="40">
        <v>0</v>
      </c>
      <c r="AM55" s="40"/>
    </row>
    <row r="56" spans="1:39" ht="22.5" customHeight="1">
      <c r="A56" s="36" t="s">
        <v>229</v>
      </c>
      <c r="B56" s="73">
        <v>2340</v>
      </c>
      <c r="C56" s="73">
        <v>853</v>
      </c>
      <c r="D56" s="40">
        <f t="shared" si="10"/>
        <v>4932.33</v>
      </c>
      <c r="E56" s="40">
        <f t="shared" si="10"/>
        <v>0</v>
      </c>
      <c r="F56" s="40">
        <f t="shared" si="10"/>
        <v>0</v>
      </c>
      <c r="G56" s="40">
        <f t="shared" si="10"/>
        <v>0</v>
      </c>
      <c r="I56" s="36" t="s">
        <v>229</v>
      </c>
      <c r="J56" s="73">
        <v>2340</v>
      </c>
      <c r="K56" s="73">
        <v>853</v>
      </c>
      <c r="L56" s="40">
        <v>200</v>
      </c>
      <c r="M56" s="40"/>
      <c r="N56" s="40"/>
      <c r="O56" s="40"/>
      <c r="Q56" s="36" t="s">
        <v>229</v>
      </c>
      <c r="R56" s="73">
        <v>2340</v>
      </c>
      <c r="S56" s="73">
        <v>853</v>
      </c>
      <c r="T56" s="40"/>
      <c r="U56" s="40"/>
      <c r="V56" s="40"/>
      <c r="W56" s="40"/>
      <c r="Y56" s="36" t="s">
        <v>229</v>
      </c>
      <c r="Z56" s="73">
        <v>2340</v>
      </c>
      <c r="AA56" s="73">
        <v>853</v>
      </c>
      <c r="AB56" s="40">
        <f>'Иные цели'!D56</f>
        <v>0</v>
      </c>
      <c r="AC56" s="40"/>
      <c r="AD56" s="40"/>
      <c r="AE56" s="40"/>
      <c r="AG56" s="36" t="s">
        <v>229</v>
      </c>
      <c r="AH56" s="73">
        <v>2340</v>
      </c>
      <c r="AI56" s="73">
        <v>853</v>
      </c>
      <c r="AJ56" s="40">
        <v>4732.33</v>
      </c>
      <c r="AK56" s="40">
        <v>0</v>
      </c>
      <c r="AL56" s="40">
        <v>0</v>
      </c>
      <c r="AM56" s="40"/>
    </row>
    <row r="57" spans="1:39" s="93" customFormat="1" ht="22.5" customHeight="1" hidden="1">
      <c r="A57" s="28" t="s">
        <v>231</v>
      </c>
      <c r="B57" s="73">
        <v>2400</v>
      </c>
      <c r="C57" s="73" t="s">
        <v>203</v>
      </c>
      <c r="D57" s="40">
        <f>D58</f>
        <v>0</v>
      </c>
      <c r="E57" s="40">
        <f>E58</f>
        <v>0</v>
      </c>
      <c r="F57" s="40">
        <f>F58</f>
        <v>0</v>
      </c>
      <c r="G57" s="40">
        <f>G58</f>
        <v>0</v>
      </c>
      <c r="I57" s="28" t="s">
        <v>231</v>
      </c>
      <c r="J57" s="73">
        <v>2400</v>
      </c>
      <c r="K57" s="73" t="s">
        <v>203</v>
      </c>
      <c r="L57" s="40">
        <f>L58</f>
        <v>0</v>
      </c>
      <c r="M57" s="40">
        <f>M58</f>
        <v>0</v>
      </c>
      <c r="N57" s="40">
        <f>N58</f>
        <v>0</v>
      </c>
      <c r="O57" s="40">
        <f>O58</f>
        <v>0</v>
      </c>
      <c r="Q57" s="28" t="s">
        <v>231</v>
      </c>
      <c r="R57" s="73">
        <v>2400</v>
      </c>
      <c r="S57" s="73" t="s">
        <v>203</v>
      </c>
      <c r="T57" s="40">
        <f>T58</f>
        <v>0</v>
      </c>
      <c r="U57" s="40">
        <f>U58</f>
        <v>0</v>
      </c>
      <c r="V57" s="40">
        <f>V58</f>
        <v>0</v>
      </c>
      <c r="W57" s="40">
        <f>W58</f>
        <v>0</v>
      </c>
      <c r="Y57" s="28" t="s">
        <v>231</v>
      </c>
      <c r="Z57" s="73">
        <v>2400</v>
      </c>
      <c r="AA57" s="73" t="s">
        <v>203</v>
      </c>
      <c r="AB57" s="40">
        <f>AB58</f>
        <v>0</v>
      </c>
      <c r="AC57" s="40">
        <f>AC58</f>
        <v>0</v>
      </c>
      <c r="AD57" s="40">
        <f>AD58</f>
        <v>0</v>
      </c>
      <c r="AE57" s="40">
        <f>AE58</f>
        <v>0</v>
      </c>
      <c r="AG57" s="28" t="s">
        <v>231</v>
      </c>
      <c r="AH57" s="73">
        <v>2400</v>
      </c>
      <c r="AI57" s="73" t="s">
        <v>203</v>
      </c>
      <c r="AJ57" s="40">
        <f>AJ58</f>
        <v>0</v>
      </c>
      <c r="AK57" s="40">
        <f>AK58</f>
        <v>0</v>
      </c>
      <c r="AL57" s="40">
        <f>AL58</f>
        <v>0</v>
      </c>
      <c r="AM57" s="40">
        <f>AM58</f>
        <v>0</v>
      </c>
    </row>
    <row r="58" spans="1:39" ht="39.75" customHeight="1" hidden="1">
      <c r="A58" s="36" t="s">
        <v>230</v>
      </c>
      <c r="B58" s="73">
        <v>2410</v>
      </c>
      <c r="C58" s="73">
        <v>613</v>
      </c>
      <c r="D58" s="40">
        <f aca="true" t="shared" si="11" ref="D58:D64">L58+T58+AB58+AJ58</f>
        <v>0</v>
      </c>
      <c r="E58" s="40">
        <f>M58+U58+AC58+AK58</f>
        <v>0</v>
      </c>
      <c r="F58" s="40">
        <f>N58+V58+AD58+AL58</f>
        <v>0</v>
      </c>
      <c r="G58" s="40">
        <f>O58+W58+AE58+AM58</f>
        <v>0</v>
      </c>
      <c r="I58" s="36" t="s">
        <v>230</v>
      </c>
      <c r="J58" s="73">
        <v>2410</v>
      </c>
      <c r="K58" s="73">
        <v>613</v>
      </c>
      <c r="L58" s="40"/>
      <c r="M58" s="40"/>
      <c r="N58" s="40"/>
      <c r="O58" s="40"/>
      <c r="Q58" s="36" t="s">
        <v>230</v>
      </c>
      <c r="R58" s="73">
        <v>2410</v>
      </c>
      <c r="S58" s="73">
        <v>613</v>
      </c>
      <c r="T58" s="40"/>
      <c r="U58" s="40"/>
      <c r="V58" s="40"/>
      <c r="W58" s="40"/>
      <c r="Y58" s="36" t="s">
        <v>230</v>
      </c>
      <c r="Z58" s="73">
        <v>2410</v>
      </c>
      <c r="AA58" s="73">
        <v>613</v>
      </c>
      <c r="AB58" s="40"/>
      <c r="AC58" s="40"/>
      <c r="AD58" s="40"/>
      <c r="AE58" s="40"/>
      <c r="AG58" s="36" t="s">
        <v>230</v>
      </c>
      <c r="AH58" s="73">
        <v>2410</v>
      </c>
      <c r="AI58" s="73">
        <v>613</v>
      </c>
      <c r="AJ58" s="40"/>
      <c r="AK58" s="40"/>
      <c r="AL58" s="40"/>
      <c r="AM58" s="40"/>
    </row>
    <row r="59" spans="1:39" s="93" customFormat="1" ht="24" customHeight="1" hidden="1">
      <c r="A59" s="35" t="s">
        <v>232</v>
      </c>
      <c r="B59" s="73">
        <v>2500</v>
      </c>
      <c r="C59" s="73" t="s">
        <v>203</v>
      </c>
      <c r="D59" s="40">
        <f>D60</f>
        <v>0</v>
      </c>
      <c r="E59" s="40">
        <f>E60</f>
        <v>0</v>
      </c>
      <c r="F59" s="40">
        <f>F60</f>
        <v>0</v>
      </c>
      <c r="G59" s="40">
        <f>G60</f>
        <v>0</v>
      </c>
      <c r="I59" s="35" t="s">
        <v>232</v>
      </c>
      <c r="J59" s="73">
        <v>2500</v>
      </c>
      <c r="K59" s="73" t="s">
        <v>203</v>
      </c>
      <c r="L59" s="40">
        <f>L60</f>
        <v>0</v>
      </c>
      <c r="M59" s="40">
        <f>M60</f>
        <v>0</v>
      </c>
      <c r="N59" s="40">
        <f>N60</f>
        <v>0</v>
      </c>
      <c r="O59" s="40">
        <f>O60</f>
        <v>0</v>
      </c>
      <c r="Q59" s="35" t="s">
        <v>232</v>
      </c>
      <c r="R59" s="73">
        <v>2500</v>
      </c>
      <c r="S59" s="73" t="s">
        <v>203</v>
      </c>
      <c r="T59" s="40">
        <f>T60</f>
        <v>0</v>
      </c>
      <c r="U59" s="40">
        <f>U60</f>
        <v>0</v>
      </c>
      <c r="V59" s="40">
        <f>V60</f>
        <v>0</v>
      </c>
      <c r="W59" s="40">
        <f>W60</f>
        <v>0</v>
      </c>
      <c r="Y59" s="35" t="s">
        <v>232</v>
      </c>
      <c r="Z59" s="73">
        <v>2500</v>
      </c>
      <c r="AA59" s="73" t="s">
        <v>203</v>
      </c>
      <c r="AB59" s="40">
        <f>AB60</f>
        <v>0</v>
      </c>
      <c r="AC59" s="40">
        <f>AC60</f>
        <v>0</v>
      </c>
      <c r="AD59" s="40">
        <f>AD60</f>
        <v>0</v>
      </c>
      <c r="AE59" s="40">
        <f>AE60</f>
        <v>0</v>
      </c>
      <c r="AG59" s="35" t="s">
        <v>232</v>
      </c>
      <c r="AH59" s="73">
        <v>2500</v>
      </c>
      <c r="AI59" s="73" t="s">
        <v>203</v>
      </c>
      <c r="AJ59" s="40">
        <f>AJ60</f>
        <v>0</v>
      </c>
      <c r="AK59" s="40">
        <f>AK60</f>
        <v>0</v>
      </c>
      <c r="AL59" s="40">
        <f>AL60</f>
        <v>0</v>
      </c>
      <c r="AM59" s="40">
        <f>AM60</f>
        <v>0</v>
      </c>
    </row>
    <row r="60" spans="1:39" ht="57" customHeight="1" hidden="1">
      <c r="A60" s="36" t="s">
        <v>233</v>
      </c>
      <c r="B60" s="73">
        <v>2510</v>
      </c>
      <c r="C60" s="73">
        <v>831</v>
      </c>
      <c r="D60" s="40">
        <f t="shared" si="11"/>
        <v>0</v>
      </c>
      <c r="E60" s="40">
        <f>M60+U60+AC60+AK60</f>
        <v>0</v>
      </c>
      <c r="F60" s="40">
        <f>N60+V60+AD60+AL60</f>
        <v>0</v>
      </c>
      <c r="G60" s="40">
        <f>O60+W60+AE60+AM60</f>
        <v>0</v>
      </c>
      <c r="I60" s="36" t="s">
        <v>233</v>
      </c>
      <c r="J60" s="73">
        <v>2510</v>
      </c>
      <c r="K60" s="73">
        <v>831</v>
      </c>
      <c r="L60" s="40"/>
      <c r="M60" s="40"/>
      <c r="N60" s="40"/>
      <c r="O60" s="40"/>
      <c r="Q60" s="36" t="s">
        <v>233</v>
      </c>
      <c r="R60" s="73">
        <v>2510</v>
      </c>
      <c r="S60" s="73">
        <v>831</v>
      </c>
      <c r="T60" s="40"/>
      <c r="U60" s="40"/>
      <c r="V60" s="40"/>
      <c r="W60" s="40"/>
      <c r="Y60" s="36" t="s">
        <v>233</v>
      </c>
      <c r="Z60" s="73">
        <v>2510</v>
      </c>
      <c r="AA60" s="73">
        <v>831</v>
      </c>
      <c r="AB60" s="40"/>
      <c r="AC60" s="40"/>
      <c r="AD60" s="40"/>
      <c r="AE60" s="40"/>
      <c r="AG60" s="36" t="s">
        <v>233</v>
      </c>
      <c r="AH60" s="73">
        <v>2510</v>
      </c>
      <c r="AI60" s="73">
        <v>831</v>
      </c>
      <c r="AJ60" s="40"/>
      <c r="AK60" s="40"/>
      <c r="AL60" s="40"/>
      <c r="AM60" s="40"/>
    </row>
    <row r="61" spans="1:39" s="105" customFormat="1" ht="29.25" customHeight="1">
      <c r="A61" s="28" t="s">
        <v>485</v>
      </c>
      <c r="B61" s="31">
        <v>2600</v>
      </c>
      <c r="C61" s="31" t="s">
        <v>203</v>
      </c>
      <c r="D61" s="98">
        <f>D62+D63+D64+D65+D84</f>
        <v>12050113.15</v>
      </c>
      <c r="E61" s="98">
        <f>E62+E63+E64+E65+E84</f>
        <v>8284700</v>
      </c>
      <c r="F61" s="98">
        <f>F62+F63+F64+F65+F84</f>
        <v>8284700</v>
      </c>
      <c r="G61" s="98">
        <f>G62+G63+G64+G65+G84</f>
        <v>0</v>
      </c>
      <c r="I61" s="28" t="s">
        <v>485</v>
      </c>
      <c r="J61" s="31">
        <v>2600</v>
      </c>
      <c r="K61" s="31" t="s">
        <v>203</v>
      </c>
      <c r="L61" s="98">
        <f>L62+L63+L64+L65+L84</f>
        <v>4264206.25</v>
      </c>
      <c r="M61" s="98">
        <f>M62+M63+M64+M65+M84</f>
        <v>4093900</v>
      </c>
      <c r="N61" s="98">
        <f>N62+N63+N64+N65+N84</f>
        <v>4093900</v>
      </c>
      <c r="O61" s="98">
        <f>O62+O63+O64+O65+O84</f>
        <v>0</v>
      </c>
      <c r="Q61" s="28" t="s">
        <v>485</v>
      </c>
      <c r="R61" s="31">
        <v>2600</v>
      </c>
      <c r="S61" s="31" t="s">
        <v>203</v>
      </c>
      <c r="T61" s="98">
        <f>T62+T63+T64+T65+T84</f>
        <v>1811100</v>
      </c>
      <c r="U61" s="98">
        <f>U62+U63+U64+U65+U84</f>
        <v>909500</v>
      </c>
      <c r="V61" s="98">
        <f>V62+V63+V64+V65+V84</f>
        <v>909500</v>
      </c>
      <c r="W61" s="98">
        <f>W62+W63+W64+W65+W84</f>
        <v>0</v>
      </c>
      <c r="Y61" s="28" t="s">
        <v>485</v>
      </c>
      <c r="Z61" s="31">
        <v>2600</v>
      </c>
      <c r="AA61" s="31" t="s">
        <v>203</v>
      </c>
      <c r="AB61" s="98">
        <f>AB62+AB63+AB64+AB65+AB84</f>
        <v>2386580</v>
      </c>
      <c r="AC61" s="98">
        <f>AC62+AC63+AC64+AC65+AC84</f>
        <v>0</v>
      </c>
      <c r="AD61" s="98">
        <f>AD62+AD63+AD64+AD65+AD84</f>
        <v>0</v>
      </c>
      <c r="AE61" s="98">
        <f>AE62+AE63+AE64+AE65+AE84</f>
        <v>0</v>
      </c>
      <c r="AG61" s="28" t="s">
        <v>485</v>
      </c>
      <c r="AH61" s="31">
        <v>2600</v>
      </c>
      <c r="AI61" s="31" t="s">
        <v>203</v>
      </c>
      <c r="AJ61" s="98">
        <f>AJ62+AJ63+AJ64+AJ65+AJ84</f>
        <v>3588226.9</v>
      </c>
      <c r="AK61" s="98">
        <f>AK62+AK63+AK64+AK65+AK84</f>
        <v>3281300</v>
      </c>
      <c r="AL61" s="98">
        <f>AL62+AL63+AL64+AL65+AL84</f>
        <v>3281300</v>
      </c>
      <c r="AM61" s="98">
        <f>AM62+AM63+AM64+AM65+AM84</f>
        <v>0</v>
      </c>
    </row>
    <row r="62" spans="1:39" ht="39.75" customHeight="1">
      <c r="A62" s="37" t="s">
        <v>235</v>
      </c>
      <c r="B62" s="73">
        <v>2610</v>
      </c>
      <c r="C62" s="73">
        <v>241</v>
      </c>
      <c r="D62" s="40">
        <f t="shared" si="11"/>
        <v>0</v>
      </c>
      <c r="E62" s="40">
        <f aca="true" t="shared" si="12" ref="E62:G64">M62+U62+AC62+AK62</f>
        <v>0</v>
      </c>
      <c r="F62" s="40">
        <f t="shared" si="12"/>
        <v>0</v>
      </c>
      <c r="G62" s="40">
        <f t="shared" si="12"/>
        <v>0</v>
      </c>
      <c r="I62" s="37" t="s">
        <v>235</v>
      </c>
      <c r="J62" s="73">
        <v>2610</v>
      </c>
      <c r="K62" s="73">
        <v>241</v>
      </c>
      <c r="L62" s="40"/>
      <c r="M62" s="40"/>
      <c r="N62" s="40"/>
      <c r="O62" s="40"/>
      <c r="Q62" s="37" t="s">
        <v>235</v>
      </c>
      <c r="R62" s="73">
        <v>2610</v>
      </c>
      <c r="S62" s="73">
        <v>241</v>
      </c>
      <c r="T62" s="40"/>
      <c r="U62" s="40"/>
      <c r="V62" s="40"/>
      <c r="W62" s="40"/>
      <c r="Y62" s="37" t="s">
        <v>235</v>
      </c>
      <c r="Z62" s="73">
        <v>2610</v>
      </c>
      <c r="AA62" s="73">
        <v>241</v>
      </c>
      <c r="AB62" s="40">
        <f>'Иные цели'!D62</f>
        <v>0</v>
      </c>
      <c r="AC62" s="40"/>
      <c r="AD62" s="40"/>
      <c r="AE62" s="40"/>
      <c r="AG62" s="37" t="s">
        <v>235</v>
      </c>
      <c r="AH62" s="73">
        <v>2610</v>
      </c>
      <c r="AI62" s="73">
        <v>241</v>
      </c>
      <c r="AJ62" s="40"/>
      <c r="AK62" s="40"/>
      <c r="AL62" s="40"/>
      <c r="AM62" s="40"/>
    </row>
    <row r="63" spans="1:39" ht="33" customHeight="1">
      <c r="A63" s="36" t="s">
        <v>236</v>
      </c>
      <c r="B63" s="73">
        <v>2620</v>
      </c>
      <c r="C63" s="73">
        <v>242</v>
      </c>
      <c r="D63" s="40">
        <f t="shared" si="11"/>
        <v>0</v>
      </c>
      <c r="E63" s="40">
        <f t="shared" si="12"/>
        <v>0</v>
      </c>
      <c r="F63" s="40">
        <f t="shared" si="12"/>
        <v>0</v>
      </c>
      <c r="G63" s="40">
        <f t="shared" si="12"/>
        <v>0</v>
      </c>
      <c r="I63" s="36" t="s">
        <v>236</v>
      </c>
      <c r="J63" s="73">
        <v>2620</v>
      </c>
      <c r="K63" s="73">
        <v>242</v>
      </c>
      <c r="L63" s="40"/>
      <c r="M63" s="40"/>
      <c r="N63" s="40"/>
      <c r="O63" s="40"/>
      <c r="Q63" s="36" t="s">
        <v>236</v>
      </c>
      <c r="R63" s="73">
        <v>2620</v>
      </c>
      <c r="S63" s="73">
        <v>242</v>
      </c>
      <c r="T63" s="40"/>
      <c r="U63" s="40"/>
      <c r="V63" s="40"/>
      <c r="W63" s="40"/>
      <c r="Y63" s="36" t="s">
        <v>236</v>
      </c>
      <c r="Z63" s="73">
        <v>2620</v>
      </c>
      <c r="AA63" s="73">
        <v>242</v>
      </c>
      <c r="AB63" s="40">
        <f>'Иные цели'!D63</f>
        <v>0</v>
      </c>
      <c r="AC63" s="40"/>
      <c r="AD63" s="40"/>
      <c r="AE63" s="40"/>
      <c r="AG63" s="36" t="s">
        <v>236</v>
      </c>
      <c r="AH63" s="73">
        <v>2620</v>
      </c>
      <c r="AI63" s="73">
        <v>242</v>
      </c>
      <c r="AJ63" s="40"/>
      <c r="AK63" s="40"/>
      <c r="AL63" s="40"/>
      <c r="AM63" s="40"/>
    </row>
    <row r="64" spans="1:39" ht="34.5" customHeight="1">
      <c r="A64" s="36" t="s">
        <v>238</v>
      </c>
      <c r="B64" s="73">
        <v>2630</v>
      </c>
      <c r="C64" s="73">
        <v>243</v>
      </c>
      <c r="D64" s="40">
        <f t="shared" si="11"/>
        <v>0</v>
      </c>
      <c r="E64" s="40">
        <f t="shared" si="12"/>
        <v>0</v>
      </c>
      <c r="F64" s="40">
        <f t="shared" si="12"/>
        <v>0</v>
      </c>
      <c r="G64" s="40">
        <f t="shared" si="12"/>
        <v>0</v>
      </c>
      <c r="I64" s="36" t="s">
        <v>238</v>
      </c>
      <c r="J64" s="73">
        <v>2630</v>
      </c>
      <c r="K64" s="73">
        <v>243</v>
      </c>
      <c r="L64" s="40"/>
      <c r="M64" s="40"/>
      <c r="N64" s="40"/>
      <c r="O64" s="40"/>
      <c r="Q64" s="36" t="s">
        <v>238</v>
      </c>
      <c r="R64" s="73">
        <v>2630</v>
      </c>
      <c r="S64" s="73">
        <v>243</v>
      </c>
      <c r="T64" s="40"/>
      <c r="U64" s="40"/>
      <c r="V64" s="40"/>
      <c r="W64" s="40"/>
      <c r="Y64" s="36" t="s">
        <v>238</v>
      </c>
      <c r="Z64" s="73">
        <v>2630</v>
      </c>
      <c r="AA64" s="73">
        <v>243</v>
      </c>
      <c r="AB64" s="40">
        <f>'Иные цели'!D64</f>
        <v>0</v>
      </c>
      <c r="AC64" s="40"/>
      <c r="AD64" s="40"/>
      <c r="AE64" s="40"/>
      <c r="AG64" s="36" t="s">
        <v>238</v>
      </c>
      <c r="AH64" s="73">
        <v>2630</v>
      </c>
      <c r="AI64" s="73">
        <v>243</v>
      </c>
      <c r="AJ64" s="40"/>
      <c r="AK64" s="40"/>
      <c r="AL64" s="40"/>
      <c r="AM64" s="40"/>
    </row>
    <row r="65" spans="1:39" ht="30.75" customHeight="1">
      <c r="A65" s="36" t="s">
        <v>239</v>
      </c>
      <c r="B65" s="73">
        <v>2640</v>
      </c>
      <c r="C65" s="73">
        <v>244</v>
      </c>
      <c r="D65" s="40">
        <f>D66+D67+D68+D74+D77+D78+D80+D81+D82</f>
        <v>9781344.8</v>
      </c>
      <c r="E65" s="40">
        <f>E66+E67+E68+E74+E77+E78+E80+E81+E82</f>
        <v>6186200</v>
      </c>
      <c r="F65" s="40">
        <f>F66+F67+F68+F74+F77+F78+F80+F81+F82</f>
        <v>6186200</v>
      </c>
      <c r="G65" s="40">
        <f>G66+G67+G68+G74+G77+G78+G80+G81+G82</f>
        <v>0</v>
      </c>
      <c r="I65" s="36" t="s">
        <v>239</v>
      </c>
      <c r="J65" s="73">
        <v>2640</v>
      </c>
      <c r="K65" s="73">
        <v>244</v>
      </c>
      <c r="L65" s="40">
        <f>SUM(L66:L81)</f>
        <v>2219200</v>
      </c>
      <c r="M65" s="40">
        <f>SUM(M66:M81)</f>
        <v>2219200</v>
      </c>
      <c r="N65" s="40">
        <f>SUM(N66:N81)</f>
        <v>2219200</v>
      </c>
      <c r="O65" s="40">
        <f>SUM(O66:O81)</f>
        <v>0</v>
      </c>
      <c r="Q65" s="36" t="s">
        <v>239</v>
      </c>
      <c r="R65" s="73">
        <v>2640</v>
      </c>
      <c r="S65" s="73">
        <v>244</v>
      </c>
      <c r="T65" s="40">
        <f>T66+T67+T68+T74+T77+T78+T80+T81+T82</f>
        <v>1811100</v>
      </c>
      <c r="U65" s="40">
        <f>U66+U67+U68+U74+U77+U78+U80+U81+U82</f>
        <v>909500</v>
      </c>
      <c r="V65" s="40">
        <f>V66+V67+V68+V74+V77+V78+V80+V81+V82</f>
        <v>909500</v>
      </c>
      <c r="W65" s="40">
        <f>W66+W67+W68+W74+W77+W78+W80+W81+W82</f>
        <v>0</v>
      </c>
      <c r="Y65" s="36" t="s">
        <v>239</v>
      </c>
      <c r="Z65" s="73">
        <v>2640</v>
      </c>
      <c r="AA65" s="73">
        <v>244</v>
      </c>
      <c r="AB65" s="40">
        <f>AB66+AB67+AB68+AB74+AB77+AB78+AB80+AB81+AB82</f>
        <v>2386580</v>
      </c>
      <c r="AC65" s="40">
        <f>AC66+AC67+AC68+AC74+AC77+AC78+AC80+AC81+AC82</f>
        <v>0</v>
      </c>
      <c r="AD65" s="40">
        <f>AD66+AD67+AD68+AD74+AD77+AD78+AD80+AD81+AD82</f>
        <v>0</v>
      </c>
      <c r="AE65" s="40">
        <f>AE66+AE67+AE68+AE74+AE77+AE78+AE80+AE81+AE82</f>
        <v>0</v>
      </c>
      <c r="AG65" s="36" t="s">
        <v>239</v>
      </c>
      <c r="AH65" s="73">
        <v>2640</v>
      </c>
      <c r="AI65" s="73">
        <v>244</v>
      </c>
      <c r="AJ65" s="40">
        <f>SUM(AJ66:AJ81)</f>
        <v>3364464.8</v>
      </c>
      <c r="AK65" s="40">
        <f>SUM(AK66:AK81)</f>
        <v>3057500</v>
      </c>
      <c r="AL65" s="40">
        <f>SUM(AL66:AL81)</f>
        <v>3057500</v>
      </c>
      <c r="AM65" s="40">
        <f>AM66+AM67+AM68+AM74+AM77+AM78+AM80+AM81+AM82</f>
        <v>0</v>
      </c>
    </row>
    <row r="66" spans="1:39" ht="34.5" customHeight="1">
      <c r="A66" s="41" t="s">
        <v>237</v>
      </c>
      <c r="B66" s="73">
        <v>2641</v>
      </c>
      <c r="C66" s="73">
        <v>244</v>
      </c>
      <c r="D66" s="40">
        <f aca="true" t="shared" si="13" ref="D66:D88">L66+T66+AB66+AJ66</f>
        <v>251902.5</v>
      </c>
      <c r="E66" s="40">
        <f aca="true" t="shared" si="14" ref="E66:G68">M66+U66+AC66+AK66</f>
        <v>274600</v>
      </c>
      <c r="F66" s="40">
        <f t="shared" si="14"/>
        <v>274600</v>
      </c>
      <c r="G66" s="40">
        <f t="shared" si="14"/>
        <v>0</v>
      </c>
      <c r="I66" s="41" t="s">
        <v>237</v>
      </c>
      <c r="J66" s="73">
        <v>2641</v>
      </c>
      <c r="K66" s="73">
        <v>244</v>
      </c>
      <c r="L66" s="95"/>
      <c r="M66" s="40"/>
      <c r="N66" s="40"/>
      <c r="O66" s="40"/>
      <c r="Q66" s="41" t="s">
        <v>237</v>
      </c>
      <c r="R66" s="73">
        <v>2641</v>
      </c>
      <c r="S66" s="73">
        <v>244</v>
      </c>
      <c r="T66" s="52">
        <f>274600-22697.5</f>
        <v>251902.5</v>
      </c>
      <c r="U66" s="52">
        <v>274600</v>
      </c>
      <c r="V66" s="52">
        <v>274600</v>
      </c>
      <c r="W66" s="40"/>
      <c r="Y66" s="41" t="s">
        <v>237</v>
      </c>
      <c r="Z66" s="73">
        <v>2641</v>
      </c>
      <c r="AA66" s="73">
        <v>244</v>
      </c>
      <c r="AB66" s="40">
        <f>'Иные цели'!D66</f>
        <v>0</v>
      </c>
      <c r="AC66" s="40"/>
      <c r="AD66" s="40"/>
      <c r="AE66" s="40"/>
      <c r="AG66" s="41" t="s">
        <v>237</v>
      </c>
      <c r="AH66" s="73">
        <v>2641</v>
      </c>
      <c r="AI66" s="73">
        <v>244</v>
      </c>
      <c r="AJ66" s="40"/>
      <c r="AK66" s="40"/>
      <c r="AL66" s="40"/>
      <c r="AM66" s="40"/>
    </row>
    <row r="67" spans="1:39" ht="20.25" customHeight="1" hidden="1">
      <c r="A67" s="41" t="s">
        <v>77</v>
      </c>
      <c r="B67" s="73">
        <v>2642</v>
      </c>
      <c r="C67" s="73">
        <v>244</v>
      </c>
      <c r="D67" s="40">
        <f t="shared" si="13"/>
        <v>0</v>
      </c>
      <c r="E67" s="40">
        <f t="shared" si="14"/>
        <v>0</v>
      </c>
      <c r="F67" s="40">
        <f t="shared" si="14"/>
        <v>0</v>
      </c>
      <c r="G67" s="40">
        <f t="shared" si="14"/>
        <v>0</v>
      </c>
      <c r="I67" s="41" t="s">
        <v>77</v>
      </c>
      <c r="J67" s="73">
        <v>2642</v>
      </c>
      <c r="K67" s="73">
        <v>244</v>
      </c>
      <c r="L67" s="95"/>
      <c r="M67" s="40"/>
      <c r="N67" s="40"/>
      <c r="O67" s="40"/>
      <c r="Q67" s="41" t="s">
        <v>77</v>
      </c>
      <c r="R67" s="73">
        <v>2642</v>
      </c>
      <c r="S67" s="73">
        <v>244</v>
      </c>
      <c r="T67" s="40"/>
      <c r="U67" s="40"/>
      <c r="V67" s="40"/>
      <c r="W67" s="40"/>
      <c r="Y67" s="41" t="s">
        <v>77</v>
      </c>
      <c r="Z67" s="73">
        <v>2642</v>
      </c>
      <c r="AA67" s="73">
        <v>244</v>
      </c>
      <c r="AB67" s="40">
        <f>'Иные цели'!D67</f>
        <v>0</v>
      </c>
      <c r="AC67" s="40"/>
      <c r="AD67" s="40"/>
      <c r="AE67" s="40"/>
      <c r="AG67" s="41" t="s">
        <v>77</v>
      </c>
      <c r="AH67" s="73">
        <v>2642</v>
      </c>
      <c r="AI67" s="73">
        <v>244</v>
      </c>
      <c r="AJ67" s="40"/>
      <c r="AK67" s="40"/>
      <c r="AL67" s="40"/>
      <c r="AM67" s="40"/>
    </row>
    <row r="68" spans="1:39" ht="22.5" customHeight="1">
      <c r="A68" s="41" t="s">
        <v>78</v>
      </c>
      <c r="B68" s="73">
        <v>2643</v>
      </c>
      <c r="C68" s="73">
        <v>244</v>
      </c>
      <c r="D68" s="40">
        <f t="shared" si="13"/>
        <v>179000</v>
      </c>
      <c r="E68" s="40">
        <f t="shared" si="14"/>
        <v>179000</v>
      </c>
      <c r="F68" s="40">
        <f t="shared" si="14"/>
        <v>179000</v>
      </c>
      <c r="G68" s="40">
        <f t="shared" si="14"/>
        <v>0</v>
      </c>
      <c r="I68" s="41" t="s">
        <v>78</v>
      </c>
      <c r="J68" s="73">
        <v>2643</v>
      </c>
      <c r="K68" s="73">
        <v>244</v>
      </c>
      <c r="L68" s="96">
        <v>179000</v>
      </c>
      <c r="M68" s="96">
        <v>179000</v>
      </c>
      <c r="N68" s="96">
        <v>179000</v>
      </c>
      <c r="O68" s="40"/>
      <c r="Q68" s="41" t="s">
        <v>78</v>
      </c>
      <c r="R68" s="73">
        <v>2643</v>
      </c>
      <c r="S68" s="73">
        <v>244</v>
      </c>
      <c r="T68" s="40"/>
      <c r="U68" s="40"/>
      <c r="V68" s="40"/>
      <c r="W68" s="40"/>
      <c r="Y68" s="41" t="s">
        <v>78</v>
      </c>
      <c r="Z68" s="73">
        <v>2643</v>
      </c>
      <c r="AA68" s="73">
        <v>244</v>
      </c>
      <c r="AB68" s="40">
        <f>'Иные цели'!D68</f>
        <v>0</v>
      </c>
      <c r="AC68" s="40"/>
      <c r="AD68" s="40"/>
      <c r="AE68" s="40"/>
      <c r="AG68" s="41" t="s">
        <v>78</v>
      </c>
      <c r="AH68" s="73">
        <v>2643</v>
      </c>
      <c r="AI68" s="73">
        <v>244</v>
      </c>
      <c r="AJ68" s="52"/>
      <c r="AK68" s="52"/>
      <c r="AL68" s="52"/>
      <c r="AM68" s="40"/>
    </row>
    <row r="69" spans="1:39" ht="21" customHeight="1" hidden="1">
      <c r="A69" s="35" t="s">
        <v>14</v>
      </c>
      <c r="B69" s="73"/>
      <c r="C69" s="73"/>
      <c r="D69" s="40">
        <f t="shared" si="13"/>
        <v>0</v>
      </c>
      <c r="E69" s="40"/>
      <c r="F69" s="40"/>
      <c r="G69" s="40"/>
      <c r="I69" s="35" t="s">
        <v>14</v>
      </c>
      <c r="J69" s="73"/>
      <c r="K69" s="73"/>
      <c r="L69" s="97"/>
      <c r="M69" s="40"/>
      <c r="N69" s="40"/>
      <c r="O69" s="40"/>
      <c r="Q69" s="35" t="s">
        <v>14</v>
      </c>
      <c r="R69" s="73"/>
      <c r="S69" s="73"/>
      <c r="T69" s="40"/>
      <c r="U69" s="40"/>
      <c r="V69" s="40"/>
      <c r="W69" s="40"/>
      <c r="Y69" s="35" t="s">
        <v>14</v>
      </c>
      <c r="Z69" s="73"/>
      <c r="AA69" s="73"/>
      <c r="AB69" s="40">
        <f>'Иные цели'!D69</f>
        <v>0</v>
      </c>
      <c r="AC69" s="40"/>
      <c r="AD69" s="40"/>
      <c r="AE69" s="40"/>
      <c r="AG69" s="35" t="s">
        <v>14</v>
      </c>
      <c r="AH69" s="73"/>
      <c r="AI69" s="73"/>
      <c r="AJ69" s="40"/>
      <c r="AK69" s="40"/>
      <c r="AL69" s="40"/>
      <c r="AM69" s="40"/>
    </row>
    <row r="70" spans="1:39" ht="28.5" customHeight="1" hidden="1">
      <c r="A70" s="33" t="s">
        <v>79</v>
      </c>
      <c r="B70" s="73"/>
      <c r="C70" s="73">
        <v>244</v>
      </c>
      <c r="D70" s="40">
        <f t="shared" si="13"/>
        <v>0</v>
      </c>
      <c r="E70" s="40"/>
      <c r="F70" s="40"/>
      <c r="G70" s="40"/>
      <c r="I70" s="33" t="s">
        <v>79</v>
      </c>
      <c r="J70" s="73"/>
      <c r="K70" s="73">
        <v>244</v>
      </c>
      <c r="L70" s="97"/>
      <c r="M70" s="40"/>
      <c r="N70" s="40"/>
      <c r="O70" s="40"/>
      <c r="Q70" s="33" t="s">
        <v>79</v>
      </c>
      <c r="R70" s="73"/>
      <c r="S70" s="73">
        <v>244</v>
      </c>
      <c r="T70" s="40"/>
      <c r="U70" s="40"/>
      <c r="V70" s="40"/>
      <c r="W70" s="40"/>
      <c r="Y70" s="33" t="s">
        <v>79</v>
      </c>
      <c r="Z70" s="73"/>
      <c r="AA70" s="73">
        <v>244</v>
      </c>
      <c r="AB70" s="40">
        <f>'Иные цели'!D70</f>
        <v>0</v>
      </c>
      <c r="AC70" s="40"/>
      <c r="AD70" s="40"/>
      <c r="AE70" s="40"/>
      <c r="AG70" s="33" t="s">
        <v>79</v>
      </c>
      <c r="AH70" s="73"/>
      <c r="AI70" s="73">
        <v>244</v>
      </c>
      <c r="AJ70" s="40"/>
      <c r="AK70" s="40"/>
      <c r="AL70" s="40"/>
      <c r="AM70" s="40"/>
    </row>
    <row r="71" spans="1:39" ht="20.25" customHeight="1" hidden="1">
      <c r="A71" s="34" t="s">
        <v>80</v>
      </c>
      <c r="B71" s="73"/>
      <c r="C71" s="73">
        <v>244</v>
      </c>
      <c r="D71" s="40">
        <f t="shared" si="13"/>
        <v>0</v>
      </c>
      <c r="E71" s="40"/>
      <c r="F71" s="40"/>
      <c r="G71" s="40"/>
      <c r="I71" s="34" t="s">
        <v>80</v>
      </c>
      <c r="J71" s="73"/>
      <c r="K71" s="73">
        <v>244</v>
      </c>
      <c r="L71" s="97"/>
      <c r="M71" s="40"/>
      <c r="N71" s="40"/>
      <c r="O71" s="40"/>
      <c r="Q71" s="34" t="s">
        <v>80</v>
      </c>
      <c r="R71" s="73"/>
      <c r="S71" s="73">
        <v>244</v>
      </c>
      <c r="T71" s="40"/>
      <c r="U71" s="40"/>
      <c r="V71" s="40"/>
      <c r="W71" s="40"/>
      <c r="Y71" s="34" t="s">
        <v>80</v>
      </c>
      <c r="Z71" s="73"/>
      <c r="AA71" s="73">
        <v>244</v>
      </c>
      <c r="AB71" s="40">
        <f>'Иные цели'!D71</f>
        <v>0</v>
      </c>
      <c r="AC71" s="40"/>
      <c r="AD71" s="40"/>
      <c r="AE71" s="40"/>
      <c r="AG71" s="34" t="s">
        <v>80</v>
      </c>
      <c r="AH71" s="73"/>
      <c r="AI71" s="73">
        <v>244</v>
      </c>
      <c r="AJ71" s="40"/>
      <c r="AK71" s="40"/>
      <c r="AL71" s="40"/>
      <c r="AM71" s="40"/>
    </row>
    <row r="72" spans="1:39" ht="28.5" customHeight="1" hidden="1">
      <c r="A72" s="34" t="s">
        <v>81</v>
      </c>
      <c r="B72" s="73"/>
      <c r="C72" s="73">
        <v>244</v>
      </c>
      <c r="D72" s="40">
        <f t="shared" si="13"/>
        <v>0</v>
      </c>
      <c r="E72" s="40"/>
      <c r="F72" s="40"/>
      <c r="G72" s="40"/>
      <c r="I72" s="34" t="s">
        <v>81</v>
      </c>
      <c r="J72" s="73"/>
      <c r="K72" s="73">
        <v>244</v>
      </c>
      <c r="L72" s="97"/>
      <c r="M72" s="40"/>
      <c r="N72" s="40"/>
      <c r="O72" s="40"/>
      <c r="Q72" s="34" t="s">
        <v>81</v>
      </c>
      <c r="R72" s="73"/>
      <c r="S72" s="73">
        <v>244</v>
      </c>
      <c r="T72" s="40"/>
      <c r="U72" s="40"/>
      <c r="V72" s="40"/>
      <c r="W72" s="40"/>
      <c r="Y72" s="34" t="s">
        <v>81</v>
      </c>
      <c r="Z72" s="73"/>
      <c r="AA72" s="73">
        <v>244</v>
      </c>
      <c r="AB72" s="40">
        <f>'Иные цели'!D72</f>
        <v>0</v>
      </c>
      <c r="AC72" s="40"/>
      <c r="AD72" s="40"/>
      <c r="AE72" s="40"/>
      <c r="AG72" s="34" t="s">
        <v>81</v>
      </c>
      <c r="AH72" s="73"/>
      <c r="AI72" s="73">
        <v>244</v>
      </c>
      <c r="AJ72" s="40"/>
      <c r="AK72" s="40"/>
      <c r="AL72" s="40"/>
      <c r="AM72" s="40"/>
    </row>
    <row r="73" spans="1:39" ht="15.75" customHeight="1" hidden="1">
      <c r="A73" s="34" t="s">
        <v>82</v>
      </c>
      <c r="B73" s="73"/>
      <c r="C73" s="73">
        <v>244</v>
      </c>
      <c r="D73" s="40">
        <f t="shared" si="13"/>
        <v>0</v>
      </c>
      <c r="E73" s="40"/>
      <c r="F73" s="40"/>
      <c r="G73" s="40"/>
      <c r="I73" s="34" t="s">
        <v>82</v>
      </c>
      <c r="J73" s="73"/>
      <c r="K73" s="73">
        <v>244</v>
      </c>
      <c r="L73" s="97"/>
      <c r="M73" s="40"/>
      <c r="N73" s="40"/>
      <c r="O73" s="40"/>
      <c r="Q73" s="34" t="s">
        <v>82</v>
      </c>
      <c r="R73" s="73"/>
      <c r="S73" s="73">
        <v>244</v>
      </c>
      <c r="T73" s="40"/>
      <c r="U73" s="40"/>
      <c r="V73" s="40"/>
      <c r="W73" s="40"/>
      <c r="Y73" s="34" t="s">
        <v>82</v>
      </c>
      <c r="Z73" s="73"/>
      <c r="AA73" s="73">
        <v>244</v>
      </c>
      <c r="AB73" s="40">
        <f>'Иные цели'!D73</f>
        <v>0</v>
      </c>
      <c r="AC73" s="40"/>
      <c r="AD73" s="40"/>
      <c r="AE73" s="40"/>
      <c r="AG73" s="34" t="s">
        <v>82</v>
      </c>
      <c r="AH73" s="73"/>
      <c r="AI73" s="73">
        <v>244</v>
      </c>
      <c r="AJ73" s="40"/>
      <c r="AK73" s="40"/>
      <c r="AL73" s="40"/>
      <c r="AM73" s="40"/>
    </row>
    <row r="74" spans="1:39" ht="24.75" customHeight="1">
      <c r="A74" s="41" t="s">
        <v>83</v>
      </c>
      <c r="B74" s="73">
        <v>2644</v>
      </c>
      <c r="C74" s="73">
        <v>244</v>
      </c>
      <c r="D74" s="40">
        <f t="shared" si="13"/>
        <v>0</v>
      </c>
      <c r="E74" s="40">
        <f>M74+U74+AC74+AK74</f>
        <v>0</v>
      </c>
      <c r="F74" s="40">
        <f>N74+V74+AD74+AL74</f>
        <v>0</v>
      </c>
      <c r="G74" s="40">
        <f>O74+W74+AE74+AM74</f>
        <v>0</v>
      </c>
      <c r="I74" s="41" t="s">
        <v>83</v>
      </c>
      <c r="J74" s="73">
        <v>2644</v>
      </c>
      <c r="K74" s="73">
        <v>244</v>
      </c>
      <c r="L74" s="97"/>
      <c r="M74" s="40"/>
      <c r="N74" s="40"/>
      <c r="O74" s="40"/>
      <c r="Q74" s="41" t="s">
        <v>83</v>
      </c>
      <c r="R74" s="73">
        <v>2644</v>
      </c>
      <c r="S74" s="73">
        <v>244</v>
      </c>
      <c r="T74" s="40"/>
      <c r="U74" s="40"/>
      <c r="V74" s="40"/>
      <c r="W74" s="40"/>
      <c r="Y74" s="41" t="s">
        <v>83</v>
      </c>
      <c r="Z74" s="73">
        <v>2644</v>
      </c>
      <c r="AA74" s="73">
        <v>244</v>
      </c>
      <c r="AB74" s="40">
        <f>'Иные цели'!D74</f>
        <v>0</v>
      </c>
      <c r="AC74" s="40"/>
      <c r="AD74" s="40"/>
      <c r="AE74" s="40"/>
      <c r="AG74" s="41" t="s">
        <v>83</v>
      </c>
      <c r="AH74" s="73">
        <v>2644</v>
      </c>
      <c r="AI74" s="73">
        <v>244</v>
      </c>
      <c r="AJ74" s="40"/>
      <c r="AK74" s="40"/>
      <c r="AL74" s="40"/>
      <c r="AM74" s="40"/>
    </row>
    <row r="75" spans="1:39" ht="33.75" customHeight="1" hidden="1">
      <c r="A75" s="43" t="s">
        <v>240</v>
      </c>
      <c r="B75" s="73"/>
      <c r="C75" s="73">
        <v>244</v>
      </c>
      <c r="D75" s="40">
        <f t="shared" si="13"/>
        <v>0</v>
      </c>
      <c r="E75" s="40"/>
      <c r="F75" s="40"/>
      <c r="G75" s="40"/>
      <c r="I75" s="43" t="s">
        <v>240</v>
      </c>
      <c r="J75" s="73"/>
      <c r="K75" s="73">
        <v>244</v>
      </c>
      <c r="L75" s="97"/>
      <c r="M75" s="40"/>
      <c r="N75" s="40"/>
      <c r="O75" s="40"/>
      <c r="Q75" s="43" t="s">
        <v>240</v>
      </c>
      <c r="R75" s="73"/>
      <c r="S75" s="73">
        <v>244</v>
      </c>
      <c r="T75" s="40"/>
      <c r="U75" s="40"/>
      <c r="V75" s="40"/>
      <c r="W75" s="40"/>
      <c r="Y75" s="43" t="s">
        <v>240</v>
      </c>
      <c r="Z75" s="73"/>
      <c r="AA75" s="73">
        <v>244</v>
      </c>
      <c r="AB75" s="40">
        <f>'Иные цели'!D75</f>
        <v>0</v>
      </c>
      <c r="AC75" s="40"/>
      <c r="AD75" s="40"/>
      <c r="AE75" s="40"/>
      <c r="AG75" s="43" t="s">
        <v>240</v>
      </c>
      <c r="AH75" s="73"/>
      <c r="AI75" s="73">
        <v>244</v>
      </c>
      <c r="AJ75" s="40"/>
      <c r="AK75" s="40"/>
      <c r="AL75" s="40"/>
      <c r="AM75" s="40"/>
    </row>
    <row r="76" spans="1:39" ht="19.5" customHeight="1" hidden="1">
      <c r="A76" s="43" t="s">
        <v>84</v>
      </c>
      <c r="B76" s="73"/>
      <c r="C76" s="73">
        <v>244</v>
      </c>
      <c r="D76" s="40">
        <f t="shared" si="13"/>
        <v>0</v>
      </c>
      <c r="E76" s="40"/>
      <c r="F76" s="40"/>
      <c r="G76" s="40"/>
      <c r="I76" s="43" t="s">
        <v>84</v>
      </c>
      <c r="J76" s="73"/>
      <c r="K76" s="73">
        <v>244</v>
      </c>
      <c r="L76" s="97"/>
      <c r="M76" s="40"/>
      <c r="N76" s="40"/>
      <c r="O76" s="40"/>
      <c r="Q76" s="43" t="s">
        <v>84</v>
      </c>
      <c r="R76" s="73"/>
      <c r="S76" s="73">
        <v>244</v>
      </c>
      <c r="T76" s="40"/>
      <c r="U76" s="40"/>
      <c r="V76" s="40"/>
      <c r="W76" s="40"/>
      <c r="Y76" s="43" t="s">
        <v>84</v>
      </c>
      <c r="Z76" s="73"/>
      <c r="AA76" s="73">
        <v>244</v>
      </c>
      <c r="AB76" s="40">
        <f>'Иные цели'!D76</f>
        <v>0</v>
      </c>
      <c r="AC76" s="40"/>
      <c r="AD76" s="40"/>
      <c r="AE76" s="40"/>
      <c r="AG76" s="43" t="s">
        <v>84</v>
      </c>
      <c r="AH76" s="73"/>
      <c r="AI76" s="73">
        <v>244</v>
      </c>
      <c r="AJ76" s="40"/>
      <c r="AK76" s="40"/>
      <c r="AL76" s="40"/>
      <c r="AM76" s="40"/>
    </row>
    <row r="77" spans="1:39" ht="22.5" customHeight="1">
      <c r="A77" s="41" t="s">
        <v>85</v>
      </c>
      <c r="B77" s="73">
        <v>2645</v>
      </c>
      <c r="C77" s="73">
        <v>244</v>
      </c>
      <c r="D77" s="40">
        <f t="shared" si="13"/>
        <v>533072.1599999999</v>
      </c>
      <c r="E77" s="40">
        <f aca="true" t="shared" si="15" ref="E77:G78">M77+U77+AC77+AK77</f>
        <v>542900</v>
      </c>
      <c r="F77" s="40">
        <f t="shared" si="15"/>
        <v>542900</v>
      </c>
      <c r="G77" s="40">
        <f t="shared" si="15"/>
        <v>0</v>
      </c>
      <c r="I77" s="41" t="s">
        <v>85</v>
      </c>
      <c r="J77" s="73">
        <v>2645</v>
      </c>
      <c r="K77" s="73">
        <v>244</v>
      </c>
      <c r="L77" s="96">
        <f>533900-20000+40+132.16</f>
        <v>514072.16</v>
      </c>
      <c r="M77" s="96">
        <v>533900</v>
      </c>
      <c r="N77" s="96">
        <v>533900</v>
      </c>
      <c r="O77" s="40"/>
      <c r="Q77" s="41" t="s">
        <v>85</v>
      </c>
      <c r="R77" s="73">
        <v>2645</v>
      </c>
      <c r="S77" s="73">
        <v>244</v>
      </c>
      <c r="T77" s="40">
        <v>9000</v>
      </c>
      <c r="U77" s="40">
        <v>9000</v>
      </c>
      <c r="V77" s="40">
        <v>9000</v>
      </c>
      <c r="W77" s="40"/>
      <c r="Y77" s="41" t="s">
        <v>85</v>
      </c>
      <c r="Z77" s="73">
        <v>2645</v>
      </c>
      <c r="AA77" s="73">
        <v>244</v>
      </c>
      <c r="AB77" s="40">
        <f>'Иные цели'!D77</f>
        <v>10000</v>
      </c>
      <c r="AC77" s="40"/>
      <c r="AD77" s="40"/>
      <c r="AE77" s="40"/>
      <c r="AG77" s="41" t="s">
        <v>85</v>
      </c>
      <c r="AH77" s="73">
        <v>2645</v>
      </c>
      <c r="AI77" s="73">
        <v>244</v>
      </c>
      <c r="AJ77" s="52"/>
      <c r="AK77" s="52"/>
      <c r="AL77" s="52"/>
      <c r="AM77" s="40"/>
    </row>
    <row r="78" spans="1:39" ht="23.25" customHeight="1">
      <c r="A78" s="41" t="s">
        <v>86</v>
      </c>
      <c r="B78" s="73">
        <v>2646</v>
      </c>
      <c r="C78" s="73">
        <v>244</v>
      </c>
      <c r="D78" s="40">
        <f>L78+T78+AB78+AJ78</f>
        <v>2650248.9099999997</v>
      </c>
      <c r="E78" s="40">
        <f t="shared" si="15"/>
        <v>558400</v>
      </c>
      <c r="F78" s="40">
        <f t="shared" si="15"/>
        <v>558400</v>
      </c>
      <c r="G78" s="40">
        <f t="shared" si="15"/>
        <v>0</v>
      </c>
      <c r="I78" s="41" t="s">
        <v>86</v>
      </c>
      <c r="J78" s="73">
        <v>2646</v>
      </c>
      <c r="K78" s="73">
        <v>244</v>
      </c>
      <c r="L78" s="96">
        <f>123000+40000-40-132.16</f>
        <v>162827.84</v>
      </c>
      <c r="M78" s="96">
        <v>123000</v>
      </c>
      <c r="N78" s="96">
        <v>123000</v>
      </c>
      <c r="O78" s="40"/>
      <c r="Q78" s="41" t="s">
        <v>86</v>
      </c>
      <c r="R78" s="73">
        <v>2646</v>
      </c>
      <c r="S78" s="73">
        <v>244</v>
      </c>
      <c r="T78" s="52">
        <f>357300+22697.5-110000</f>
        <v>269997.5</v>
      </c>
      <c r="U78" s="52">
        <v>357300</v>
      </c>
      <c r="V78" s="52">
        <v>357300</v>
      </c>
      <c r="W78" s="40"/>
      <c r="Y78" s="41" t="s">
        <v>86</v>
      </c>
      <c r="Z78" s="73">
        <v>2646</v>
      </c>
      <c r="AA78" s="73">
        <v>244</v>
      </c>
      <c r="AB78" s="40">
        <f>'Иные цели'!D78</f>
        <v>2139280</v>
      </c>
      <c r="AC78" s="40"/>
      <c r="AD78" s="40"/>
      <c r="AE78" s="40"/>
      <c r="AG78" s="41" t="s">
        <v>86</v>
      </c>
      <c r="AH78" s="73">
        <v>2646</v>
      </c>
      <c r="AI78" s="73">
        <v>244</v>
      </c>
      <c r="AJ78" s="52">
        <f>8000+49343.57+20800</f>
        <v>78143.57</v>
      </c>
      <c r="AK78" s="52">
        <v>78100</v>
      </c>
      <c r="AL78" s="52">
        <v>78100</v>
      </c>
      <c r="AM78" s="40"/>
    </row>
    <row r="79" spans="1:39" ht="18.75" customHeight="1" hidden="1">
      <c r="A79" s="42" t="s">
        <v>87</v>
      </c>
      <c r="B79" s="73"/>
      <c r="C79" s="73">
        <v>244</v>
      </c>
      <c r="D79" s="40">
        <f t="shared" si="13"/>
        <v>0</v>
      </c>
      <c r="E79" s="40"/>
      <c r="F79" s="40"/>
      <c r="G79" s="40"/>
      <c r="I79" s="42" t="s">
        <v>87</v>
      </c>
      <c r="J79" s="73"/>
      <c r="K79" s="73">
        <v>244</v>
      </c>
      <c r="L79" s="96"/>
      <c r="M79" s="40"/>
      <c r="N79" s="40"/>
      <c r="O79" s="40"/>
      <c r="Q79" s="42" t="s">
        <v>87</v>
      </c>
      <c r="R79" s="73"/>
      <c r="S79" s="73">
        <v>244</v>
      </c>
      <c r="T79" s="40"/>
      <c r="U79" s="40"/>
      <c r="V79" s="40"/>
      <c r="W79" s="40"/>
      <c r="Y79" s="42" t="s">
        <v>87</v>
      </c>
      <c r="Z79" s="73"/>
      <c r="AA79" s="73">
        <v>244</v>
      </c>
      <c r="AB79" s="40">
        <f>'Иные цели'!D79</f>
        <v>0</v>
      </c>
      <c r="AC79" s="40"/>
      <c r="AD79" s="40"/>
      <c r="AE79" s="40"/>
      <c r="AG79" s="42" t="s">
        <v>87</v>
      </c>
      <c r="AH79" s="73"/>
      <c r="AI79" s="73">
        <v>244</v>
      </c>
      <c r="AJ79" s="40"/>
      <c r="AK79" s="40"/>
      <c r="AL79" s="40"/>
      <c r="AM79" s="40"/>
    </row>
    <row r="80" spans="1:39" ht="33" customHeight="1">
      <c r="A80" s="41" t="s">
        <v>88</v>
      </c>
      <c r="B80" s="73">
        <v>2647</v>
      </c>
      <c r="C80" s="73">
        <v>244</v>
      </c>
      <c r="D80" s="40">
        <f t="shared" si="13"/>
        <v>1525674</v>
      </c>
      <c r="E80" s="40">
        <f aca="true" t="shared" si="16" ref="E80:G82">M80+U80+AC80+AK80</f>
        <v>256400</v>
      </c>
      <c r="F80" s="40">
        <f t="shared" si="16"/>
        <v>256400</v>
      </c>
      <c r="G80" s="40">
        <f t="shared" si="16"/>
        <v>0</v>
      </c>
      <c r="I80" s="41" t="s">
        <v>88</v>
      </c>
      <c r="J80" s="73">
        <v>2647</v>
      </c>
      <c r="K80" s="73">
        <v>244</v>
      </c>
      <c r="L80" s="96"/>
      <c r="M80" s="40">
        <v>0</v>
      </c>
      <c r="N80" s="40">
        <v>0</v>
      </c>
      <c r="O80" s="40"/>
      <c r="Q80" s="41" t="s">
        <v>88</v>
      </c>
      <c r="R80" s="73">
        <v>2647</v>
      </c>
      <c r="S80" s="73">
        <v>244</v>
      </c>
      <c r="T80" s="52">
        <f>179800+110000+901600</f>
        <v>1191400</v>
      </c>
      <c r="U80" s="52">
        <v>179800</v>
      </c>
      <c r="V80" s="52">
        <v>179800</v>
      </c>
      <c r="W80" s="40"/>
      <c r="Y80" s="41" t="s">
        <v>88</v>
      </c>
      <c r="Z80" s="73">
        <v>2647</v>
      </c>
      <c r="AA80" s="73">
        <v>244</v>
      </c>
      <c r="AB80" s="40">
        <f>'Иные цели'!D80</f>
        <v>235700</v>
      </c>
      <c r="AC80" s="40"/>
      <c r="AD80" s="40"/>
      <c r="AE80" s="40"/>
      <c r="AG80" s="41" t="s">
        <v>88</v>
      </c>
      <c r="AH80" s="73">
        <v>2647</v>
      </c>
      <c r="AI80" s="73">
        <v>244</v>
      </c>
      <c r="AJ80" s="40">
        <f>30000+16574+22000+30000</f>
        <v>98574</v>
      </c>
      <c r="AK80" s="40">
        <v>76600</v>
      </c>
      <c r="AL80" s="40">
        <v>76600</v>
      </c>
      <c r="AM80" s="40"/>
    </row>
    <row r="81" spans="1:39" ht="24" customHeight="1">
      <c r="A81" s="41" t="s">
        <v>89</v>
      </c>
      <c r="B81" s="73">
        <v>2648</v>
      </c>
      <c r="C81" s="73">
        <v>244</v>
      </c>
      <c r="D81" s="40">
        <f>L81+T81+AB81+AJ81</f>
        <v>4641447.23</v>
      </c>
      <c r="E81" s="40">
        <f t="shared" si="16"/>
        <v>4374900</v>
      </c>
      <c r="F81" s="40">
        <f t="shared" si="16"/>
        <v>4374900</v>
      </c>
      <c r="G81" s="40">
        <f t="shared" si="16"/>
        <v>0</v>
      </c>
      <c r="I81" s="41" t="s">
        <v>89</v>
      </c>
      <c r="J81" s="73">
        <v>2648</v>
      </c>
      <c r="K81" s="73">
        <v>244</v>
      </c>
      <c r="L81" s="96">
        <f>1383300-20000</f>
        <v>1363300</v>
      </c>
      <c r="M81" s="96">
        <v>1383300</v>
      </c>
      <c r="N81" s="96">
        <v>1383300</v>
      </c>
      <c r="O81" s="40"/>
      <c r="Q81" s="41" t="s">
        <v>89</v>
      </c>
      <c r="R81" s="73">
        <v>2648</v>
      </c>
      <c r="S81" s="73">
        <v>244</v>
      </c>
      <c r="T81" s="52">
        <f>88800</f>
        <v>88800</v>
      </c>
      <c r="U81" s="52">
        <v>88800</v>
      </c>
      <c r="V81" s="52">
        <v>88800</v>
      </c>
      <c r="W81" s="40"/>
      <c r="Y81" s="41" t="s">
        <v>89</v>
      </c>
      <c r="Z81" s="73">
        <v>2648</v>
      </c>
      <c r="AA81" s="73">
        <v>244</v>
      </c>
      <c r="AB81" s="40">
        <f>'Иные цели'!D81</f>
        <v>1600</v>
      </c>
      <c r="AC81" s="40"/>
      <c r="AD81" s="40"/>
      <c r="AE81" s="40"/>
      <c r="AG81" s="41" t="s">
        <v>89</v>
      </c>
      <c r="AH81" s="73">
        <v>2648</v>
      </c>
      <c r="AI81" s="73">
        <v>244</v>
      </c>
      <c r="AJ81" s="52">
        <f>3170839.23+16908</f>
        <v>3187747.23</v>
      </c>
      <c r="AK81" s="52">
        <v>2902800</v>
      </c>
      <c r="AL81" s="52">
        <v>2902800</v>
      </c>
      <c r="AM81" s="40"/>
    </row>
    <row r="82" spans="1:39" ht="21" customHeight="1" hidden="1">
      <c r="A82" s="41" t="s">
        <v>90</v>
      </c>
      <c r="B82" s="73">
        <v>2649</v>
      </c>
      <c r="C82" s="73">
        <v>244</v>
      </c>
      <c r="D82" s="40">
        <f t="shared" si="13"/>
        <v>0</v>
      </c>
      <c r="E82" s="40">
        <f t="shared" si="16"/>
        <v>0</v>
      </c>
      <c r="F82" s="40">
        <f t="shared" si="16"/>
        <v>0</v>
      </c>
      <c r="G82" s="40">
        <f t="shared" si="16"/>
        <v>0</v>
      </c>
      <c r="I82" s="41" t="s">
        <v>90</v>
      </c>
      <c r="J82" s="73">
        <v>2649</v>
      </c>
      <c r="K82" s="73">
        <v>244</v>
      </c>
      <c r="L82" s="97"/>
      <c r="M82" s="40"/>
      <c r="N82" s="40"/>
      <c r="O82" s="40"/>
      <c r="Q82" s="41" t="s">
        <v>90</v>
      </c>
      <c r="R82" s="73">
        <v>2649</v>
      </c>
      <c r="S82" s="73">
        <v>244</v>
      </c>
      <c r="T82" s="40"/>
      <c r="U82" s="40"/>
      <c r="V82" s="40"/>
      <c r="W82" s="40"/>
      <c r="Y82" s="41" t="s">
        <v>90</v>
      </c>
      <c r="Z82" s="73">
        <v>2649</v>
      </c>
      <c r="AA82" s="73">
        <v>244</v>
      </c>
      <c r="AB82" s="40">
        <f>'Иные цели'!D82</f>
        <v>0</v>
      </c>
      <c r="AC82" s="40"/>
      <c r="AD82" s="40"/>
      <c r="AE82" s="40"/>
      <c r="AG82" s="41" t="s">
        <v>90</v>
      </c>
      <c r="AH82" s="73">
        <v>2649</v>
      </c>
      <c r="AI82" s="73">
        <v>244</v>
      </c>
      <c r="AJ82" s="40"/>
      <c r="AK82" s="40"/>
      <c r="AL82" s="40"/>
      <c r="AM82" s="40"/>
    </row>
    <row r="83" spans="1:39" ht="23.25" customHeight="1" hidden="1">
      <c r="A83" s="41" t="s">
        <v>91</v>
      </c>
      <c r="B83" s="73">
        <v>2650</v>
      </c>
      <c r="C83" s="73">
        <v>244</v>
      </c>
      <c r="D83" s="40">
        <f t="shared" si="13"/>
        <v>0</v>
      </c>
      <c r="E83" s="40"/>
      <c r="F83" s="40"/>
      <c r="G83" s="40"/>
      <c r="I83" s="41" t="s">
        <v>91</v>
      </c>
      <c r="J83" s="73">
        <v>2650</v>
      </c>
      <c r="K83" s="73">
        <v>244</v>
      </c>
      <c r="L83" s="97"/>
      <c r="M83" s="40"/>
      <c r="N83" s="40"/>
      <c r="O83" s="40"/>
      <c r="Q83" s="41" t="s">
        <v>91</v>
      </c>
      <c r="R83" s="73">
        <v>2650</v>
      </c>
      <c r="S83" s="73">
        <v>244</v>
      </c>
      <c r="T83" s="40"/>
      <c r="U83" s="40"/>
      <c r="V83" s="40"/>
      <c r="W83" s="40"/>
      <c r="Y83" s="41" t="s">
        <v>91</v>
      </c>
      <c r="Z83" s="73">
        <v>2650</v>
      </c>
      <c r="AA83" s="73">
        <v>244</v>
      </c>
      <c r="AB83" s="40">
        <f>'Иные цели'!D83</f>
        <v>0</v>
      </c>
      <c r="AC83" s="40"/>
      <c r="AD83" s="40"/>
      <c r="AE83" s="40"/>
      <c r="AG83" s="41" t="s">
        <v>91</v>
      </c>
      <c r="AH83" s="73">
        <v>2650</v>
      </c>
      <c r="AI83" s="73">
        <v>244</v>
      </c>
      <c r="AJ83" s="40"/>
      <c r="AK83" s="40"/>
      <c r="AL83" s="40"/>
      <c r="AM83" s="40"/>
    </row>
    <row r="84" spans="1:39" ht="21" customHeight="1">
      <c r="A84" s="36" t="s">
        <v>241</v>
      </c>
      <c r="B84" s="73">
        <v>2650</v>
      </c>
      <c r="C84" s="73">
        <v>247</v>
      </c>
      <c r="D84" s="40">
        <f>L84+T84+AB84+AJ84</f>
        <v>2268768.35</v>
      </c>
      <c r="E84" s="40">
        <f>M84+U84+AC84+AK84</f>
        <v>2098500</v>
      </c>
      <c r="F84" s="40">
        <f>N84+V84+AD84+AL84</f>
        <v>2098500</v>
      </c>
      <c r="G84" s="40">
        <f>O84+W84+AE84+AM84</f>
        <v>0</v>
      </c>
      <c r="I84" s="36" t="s">
        <v>241</v>
      </c>
      <c r="J84" s="73">
        <v>2650</v>
      </c>
      <c r="K84" s="73">
        <v>247</v>
      </c>
      <c r="L84" s="98">
        <f>1874700+L6-160000</f>
        <v>2045006.25</v>
      </c>
      <c r="M84" s="98">
        <f>2053700-M68</f>
        <v>1874700</v>
      </c>
      <c r="N84" s="98">
        <f>2053700-N68</f>
        <v>1874700</v>
      </c>
      <c r="O84" s="40"/>
      <c r="Q84" s="36" t="s">
        <v>241</v>
      </c>
      <c r="R84" s="73">
        <v>2650</v>
      </c>
      <c r="S84" s="73">
        <v>247</v>
      </c>
      <c r="T84" s="40"/>
      <c r="U84" s="40"/>
      <c r="V84" s="40"/>
      <c r="W84" s="40"/>
      <c r="Y84" s="36" t="s">
        <v>241</v>
      </c>
      <c r="Z84" s="73">
        <v>2650</v>
      </c>
      <c r="AA84" s="73">
        <v>247</v>
      </c>
      <c r="AB84" s="40">
        <f>'Иные цели'!D84</f>
        <v>0</v>
      </c>
      <c r="AC84" s="40"/>
      <c r="AD84" s="40"/>
      <c r="AE84" s="40"/>
      <c r="AG84" s="36" t="s">
        <v>241</v>
      </c>
      <c r="AH84" s="73">
        <v>2650</v>
      </c>
      <c r="AI84" s="73">
        <v>247</v>
      </c>
      <c r="AJ84" s="40">
        <f>223762.1</f>
        <v>223762.1</v>
      </c>
      <c r="AK84" s="40">
        <v>223800</v>
      </c>
      <c r="AL84" s="40">
        <v>223800</v>
      </c>
      <c r="AM84" s="40"/>
    </row>
    <row r="85" spans="1:39" s="99" customFormat="1" ht="26.25" customHeight="1">
      <c r="A85" s="91" t="s">
        <v>328</v>
      </c>
      <c r="B85" s="31">
        <v>3000</v>
      </c>
      <c r="C85" s="31" t="s">
        <v>203</v>
      </c>
      <c r="D85" s="98">
        <f>D86+D87+D88</f>
        <v>0</v>
      </c>
      <c r="E85" s="98">
        <f>E86+E87+E88</f>
        <v>0</v>
      </c>
      <c r="F85" s="98">
        <f>F86+F87+F88</f>
        <v>0</v>
      </c>
      <c r="G85" s="98">
        <f>G86+G87+G88</f>
        <v>0</v>
      </c>
      <c r="I85" s="91" t="s">
        <v>328</v>
      </c>
      <c r="J85" s="31">
        <v>3000</v>
      </c>
      <c r="K85" s="31" t="s">
        <v>203</v>
      </c>
      <c r="L85" s="98">
        <f>L86+L87+L88</f>
        <v>0</v>
      </c>
      <c r="M85" s="98">
        <f>M86+M87+M88</f>
        <v>0</v>
      </c>
      <c r="N85" s="98">
        <f>N86+N87+N88</f>
        <v>0</v>
      </c>
      <c r="O85" s="98">
        <f>O86+O87+O88</f>
        <v>0</v>
      </c>
      <c r="Q85" s="91" t="s">
        <v>328</v>
      </c>
      <c r="R85" s="31">
        <v>3000</v>
      </c>
      <c r="S85" s="31" t="s">
        <v>203</v>
      </c>
      <c r="T85" s="98">
        <f>T86+T87+T88</f>
        <v>0</v>
      </c>
      <c r="U85" s="98">
        <f>U86+U87+U88</f>
        <v>0</v>
      </c>
      <c r="V85" s="98">
        <f>V86+V87+V88</f>
        <v>0</v>
      </c>
      <c r="W85" s="98">
        <f>W86+W87+W88</f>
        <v>0</v>
      </c>
      <c r="Y85" s="91" t="s">
        <v>328</v>
      </c>
      <c r="Z85" s="31">
        <v>3000</v>
      </c>
      <c r="AA85" s="31" t="s">
        <v>203</v>
      </c>
      <c r="AB85" s="98">
        <f>AB86+AB87+AB88</f>
        <v>0</v>
      </c>
      <c r="AC85" s="98">
        <f>AC86+AC87+AC88</f>
        <v>0</v>
      </c>
      <c r="AD85" s="98">
        <f>AD86+AD87+AD88</f>
        <v>0</v>
      </c>
      <c r="AE85" s="98">
        <f>AE86+AE87+AE88</f>
        <v>0</v>
      </c>
      <c r="AG85" s="91" t="s">
        <v>328</v>
      </c>
      <c r="AH85" s="31">
        <v>3000</v>
      </c>
      <c r="AI85" s="31" t="s">
        <v>203</v>
      </c>
      <c r="AJ85" s="98">
        <f>AJ86+AJ87+AJ88</f>
        <v>0</v>
      </c>
      <c r="AK85" s="98">
        <f>AK86+AK87+AK88</f>
        <v>0</v>
      </c>
      <c r="AL85" s="98">
        <f>AL86+AL87+AL88</f>
        <v>0</v>
      </c>
      <c r="AM85" s="98">
        <f>AM86+AM87+AM88</f>
        <v>0</v>
      </c>
    </row>
    <row r="86" spans="1:39" s="99" customFormat="1" ht="33.75" customHeight="1" hidden="1">
      <c r="A86" s="28" t="s">
        <v>329</v>
      </c>
      <c r="B86" s="31">
        <v>3010</v>
      </c>
      <c r="C86" s="31">
        <v>180</v>
      </c>
      <c r="D86" s="98">
        <f t="shared" si="13"/>
        <v>0</v>
      </c>
      <c r="E86" s="98">
        <f aca="true" t="shared" si="17" ref="E86:G88">M86+U86+AC86+AK86</f>
        <v>0</v>
      </c>
      <c r="F86" s="98">
        <f t="shared" si="17"/>
        <v>0</v>
      </c>
      <c r="G86" s="98">
        <f t="shared" si="17"/>
        <v>0</v>
      </c>
      <c r="I86" s="28" t="s">
        <v>329</v>
      </c>
      <c r="J86" s="31">
        <v>3010</v>
      </c>
      <c r="K86" s="31">
        <v>180</v>
      </c>
      <c r="L86" s="98"/>
      <c r="M86" s="98"/>
      <c r="N86" s="98"/>
      <c r="O86" s="98"/>
      <c r="Q86" s="28" t="s">
        <v>329</v>
      </c>
      <c r="R86" s="31">
        <v>3010</v>
      </c>
      <c r="S86" s="31">
        <v>180</v>
      </c>
      <c r="T86" s="98"/>
      <c r="U86" s="98"/>
      <c r="V86" s="98"/>
      <c r="W86" s="98"/>
      <c r="Y86" s="28" t="s">
        <v>329</v>
      </c>
      <c r="Z86" s="31">
        <v>3010</v>
      </c>
      <c r="AA86" s="31">
        <v>180</v>
      </c>
      <c r="AB86" s="98"/>
      <c r="AC86" s="98"/>
      <c r="AD86" s="98"/>
      <c r="AE86" s="98"/>
      <c r="AG86" s="28" t="s">
        <v>329</v>
      </c>
      <c r="AH86" s="31">
        <v>3010</v>
      </c>
      <c r="AI86" s="31">
        <v>180</v>
      </c>
      <c r="AJ86" s="98"/>
      <c r="AK86" s="98"/>
      <c r="AL86" s="98"/>
      <c r="AM86" s="98"/>
    </row>
    <row r="87" spans="1:39" s="99" customFormat="1" ht="17.25" customHeight="1" hidden="1">
      <c r="A87" s="28" t="s">
        <v>330</v>
      </c>
      <c r="B87" s="31">
        <v>3020</v>
      </c>
      <c r="C87" s="31">
        <v>180</v>
      </c>
      <c r="D87" s="98">
        <f t="shared" si="13"/>
        <v>0</v>
      </c>
      <c r="E87" s="98">
        <f t="shared" si="17"/>
        <v>0</v>
      </c>
      <c r="F87" s="98">
        <f t="shared" si="17"/>
        <v>0</v>
      </c>
      <c r="G87" s="98">
        <f t="shared" si="17"/>
        <v>0</v>
      </c>
      <c r="I87" s="28" t="s">
        <v>330</v>
      </c>
      <c r="J87" s="31">
        <v>3020</v>
      </c>
      <c r="K87" s="31">
        <v>180</v>
      </c>
      <c r="L87" s="98"/>
      <c r="M87" s="98"/>
      <c r="N87" s="98"/>
      <c r="O87" s="98"/>
      <c r="Q87" s="28" t="s">
        <v>330</v>
      </c>
      <c r="R87" s="31">
        <v>3020</v>
      </c>
      <c r="S87" s="31">
        <v>180</v>
      </c>
      <c r="T87" s="98"/>
      <c r="U87" s="98"/>
      <c r="V87" s="98"/>
      <c r="W87" s="98"/>
      <c r="Y87" s="28" t="s">
        <v>330</v>
      </c>
      <c r="Z87" s="31">
        <v>3020</v>
      </c>
      <c r="AA87" s="31">
        <v>180</v>
      </c>
      <c r="AB87" s="98"/>
      <c r="AC87" s="98"/>
      <c r="AD87" s="98"/>
      <c r="AE87" s="98"/>
      <c r="AG87" s="28" t="s">
        <v>330</v>
      </c>
      <c r="AH87" s="31">
        <v>3020</v>
      </c>
      <c r="AI87" s="31">
        <v>180</v>
      </c>
      <c r="AJ87" s="98"/>
      <c r="AK87" s="98"/>
      <c r="AL87" s="98"/>
      <c r="AM87" s="98"/>
    </row>
    <row r="88" spans="1:39" s="99" customFormat="1" ht="23.25" customHeight="1" hidden="1">
      <c r="A88" s="28" t="s">
        <v>331</v>
      </c>
      <c r="B88" s="31">
        <v>3030</v>
      </c>
      <c r="C88" s="31">
        <v>180</v>
      </c>
      <c r="D88" s="98">
        <f t="shared" si="13"/>
        <v>0</v>
      </c>
      <c r="E88" s="98">
        <f t="shared" si="17"/>
        <v>0</v>
      </c>
      <c r="F88" s="98">
        <f t="shared" si="17"/>
        <v>0</v>
      </c>
      <c r="G88" s="98">
        <f t="shared" si="17"/>
        <v>0</v>
      </c>
      <c r="I88" s="28" t="s">
        <v>331</v>
      </c>
      <c r="J88" s="31">
        <v>3030</v>
      </c>
      <c r="K88" s="31">
        <v>180</v>
      </c>
      <c r="L88" s="98"/>
      <c r="M88" s="98"/>
      <c r="N88" s="98"/>
      <c r="O88" s="98"/>
      <c r="Q88" s="28" t="s">
        <v>331</v>
      </c>
      <c r="R88" s="31">
        <v>3030</v>
      </c>
      <c r="S88" s="31">
        <v>180</v>
      </c>
      <c r="T88" s="98"/>
      <c r="U88" s="98"/>
      <c r="V88" s="98"/>
      <c r="W88" s="98"/>
      <c r="Y88" s="28" t="s">
        <v>331</v>
      </c>
      <c r="Z88" s="31">
        <v>3030</v>
      </c>
      <c r="AA88" s="31">
        <v>180</v>
      </c>
      <c r="AB88" s="98"/>
      <c r="AC88" s="98"/>
      <c r="AD88" s="98"/>
      <c r="AE88" s="98"/>
      <c r="AG88" s="28" t="s">
        <v>331</v>
      </c>
      <c r="AH88" s="31">
        <v>3030</v>
      </c>
      <c r="AI88" s="31">
        <v>180</v>
      </c>
      <c r="AJ88" s="98"/>
      <c r="AK88" s="98"/>
      <c r="AL88" s="98"/>
      <c r="AM88" s="98"/>
    </row>
    <row r="89" spans="1:39" s="99" customFormat="1" ht="20.25" customHeight="1">
      <c r="A89" s="65" t="s">
        <v>244</v>
      </c>
      <c r="B89" s="31">
        <v>4000</v>
      </c>
      <c r="C89" s="31" t="s">
        <v>203</v>
      </c>
      <c r="D89" s="98">
        <f>D90</f>
        <v>16231.73</v>
      </c>
      <c r="E89" s="98">
        <f>E90</f>
        <v>0</v>
      </c>
      <c r="F89" s="98">
        <f>F90</f>
        <v>0</v>
      </c>
      <c r="G89" s="98">
        <f>G90</f>
        <v>0</v>
      </c>
      <c r="I89" s="65" t="s">
        <v>244</v>
      </c>
      <c r="J89" s="31">
        <v>4000</v>
      </c>
      <c r="K89" s="31" t="s">
        <v>203</v>
      </c>
      <c r="L89" s="98">
        <f>L90</f>
        <v>0</v>
      </c>
      <c r="M89" s="98">
        <f>M90</f>
        <v>0</v>
      </c>
      <c r="N89" s="98">
        <f>N90</f>
        <v>0</v>
      </c>
      <c r="O89" s="98">
        <f>O90</f>
        <v>0</v>
      </c>
      <c r="Q89" s="65" t="s">
        <v>244</v>
      </c>
      <c r="R89" s="31">
        <v>4000</v>
      </c>
      <c r="S89" s="31" t="s">
        <v>203</v>
      </c>
      <c r="T89" s="98">
        <f>T90</f>
        <v>0</v>
      </c>
      <c r="U89" s="98">
        <f>U90</f>
        <v>0</v>
      </c>
      <c r="V89" s="98">
        <f>V90</f>
        <v>0</v>
      </c>
      <c r="W89" s="98">
        <f>W90</f>
        <v>0</v>
      </c>
      <c r="Y89" s="65" t="s">
        <v>244</v>
      </c>
      <c r="Z89" s="31">
        <v>4000</v>
      </c>
      <c r="AA89" s="31" t="s">
        <v>203</v>
      </c>
      <c r="AB89" s="98">
        <f>AB90</f>
        <v>5098.58</v>
      </c>
      <c r="AC89" s="98">
        <f>AC90</f>
        <v>0</v>
      </c>
      <c r="AD89" s="98">
        <f>AD90</f>
        <v>0</v>
      </c>
      <c r="AE89" s="98">
        <f>AE90</f>
        <v>0</v>
      </c>
      <c r="AG89" s="65" t="s">
        <v>244</v>
      </c>
      <c r="AH89" s="31">
        <v>4000</v>
      </c>
      <c r="AI89" s="31" t="s">
        <v>203</v>
      </c>
      <c r="AJ89" s="98">
        <f>AJ90</f>
        <v>11133.15</v>
      </c>
      <c r="AK89" s="98">
        <f>AK90</f>
        <v>0</v>
      </c>
      <c r="AL89" s="98">
        <f>AL90</f>
        <v>0</v>
      </c>
      <c r="AM89" s="98">
        <f>AM90</f>
        <v>0</v>
      </c>
    </row>
    <row r="90" spans="1:39" s="99" customFormat="1" ht="25.5" customHeight="1">
      <c r="A90" s="28" t="s">
        <v>92</v>
      </c>
      <c r="B90" s="31">
        <v>4010</v>
      </c>
      <c r="C90" s="31">
        <v>610</v>
      </c>
      <c r="D90" s="98">
        <f>L90+T90+AB90+AJ90</f>
        <v>16231.73</v>
      </c>
      <c r="E90" s="98">
        <f>M90+U90+AC90+AK90</f>
        <v>0</v>
      </c>
      <c r="F90" s="98">
        <f>N90+V90+AD90+AL90</f>
        <v>0</v>
      </c>
      <c r="G90" s="98">
        <f>O90+W90+AE90+AM90</f>
        <v>0</v>
      </c>
      <c r="I90" s="28" t="s">
        <v>92</v>
      </c>
      <c r="J90" s="31">
        <v>4010</v>
      </c>
      <c r="K90" s="31">
        <v>610</v>
      </c>
      <c r="L90" s="98"/>
      <c r="M90" s="98"/>
      <c r="N90" s="98"/>
      <c r="O90" s="98"/>
      <c r="Q90" s="28" t="s">
        <v>92</v>
      </c>
      <c r="R90" s="31">
        <v>4010</v>
      </c>
      <c r="S90" s="31">
        <v>610</v>
      </c>
      <c r="T90" s="98"/>
      <c r="U90" s="98"/>
      <c r="V90" s="98"/>
      <c r="W90" s="98"/>
      <c r="Y90" s="28" t="s">
        <v>92</v>
      </c>
      <c r="Z90" s="31">
        <v>4010</v>
      </c>
      <c r="AA90" s="31">
        <v>610</v>
      </c>
      <c r="AB90" s="98">
        <f>'Иные цели'!D90</f>
        <v>5098.58</v>
      </c>
      <c r="AC90" s="98"/>
      <c r="AD90" s="98"/>
      <c r="AE90" s="98"/>
      <c r="AG90" s="28" t="s">
        <v>92</v>
      </c>
      <c r="AH90" s="31">
        <v>4010</v>
      </c>
      <c r="AI90" s="31">
        <v>610</v>
      </c>
      <c r="AJ90" s="98">
        <f>AJ7</f>
        <v>11133.15</v>
      </c>
      <c r="AK90" s="98"/>
      <c r="AL90" s="98"/>
      <c r="AM90" s="98"/>
    </row>
    <row r="91" spans="1:39" ht="17.25" customHeight="1" hidden="1">
      <c r="A91" s="44"/>
      <c r="B91" s="45"/>
      <c r="C91" s="45"/>
      <c r="D91" s="46"/>
      <c r="E91" s="46"/>
      <c r="F91" s="46"/>
      <c r="G91" s="46"/>
      <c r="I91" s="44"/>
      <c r="J91" s="45"/>
      <c r="K91" s="45"/>
      <c r="L91" s="46"/>
      <c r="M91" s="46"/>
      <c r="N91" s="46"/>
      <c r="O91" s="46"/>
      <c r="Q91" s="44"/>
      <c r="R91" s="45"/>
      <c r="S91" s="45"/>
      <c r="T91" s="46"/>
      <c r="U91" s="46"/>
      <c r="V91" s="46"/>
      <c r="W91" s="46"/>
      <c r="Y91" s="44"/>
      <c r="Z91" s="45"/>
      <c r="AA91" s="45"/>
      <c r="AB91" s="46"/>
      <c r="AC91" s="46"/>
      <c r="AD91" s="46"/>
      <c r="AE91" s="46"/>
      <c r="AG91" s="44"/>
      <c r="AH91" s="45"/>
      <c r="AI91" s="45"/>
      <c r="AJ91" s="46"/>
      <c r="AK91" s="46"/>
      <c r="AL91" s="46"/>
      <c r="AM91" s="46"/>
    </row>
    <row r="92" spans="1:36" ht="15" customHeight="1" hidden="1">
      <c r="A92" s="306"/>
      <c r="B92" s="307"/>
      <c r="C92" s="307"/>
      <c r="D92" s="307"/>
      <c r="I92" s="306"/>
      <c r="J92" s="307"/>
      <c r="K92" s="307"/>
      <c r="L92" s="307"/>
      <c r="Q92" s="306"/>
      <c r="R92" s="307"/>
      <c r="S92" s="307"/>
      <c r="T92" s="307"/>
      <c r="Y92" s="306"/>
      <c r="Z92" s="307"/>
      <c r="AA92" s="307"/>
      <c r="AB92" s="307"/>
      <c r="AG92" s="306"/>
      <c r="AH92" s="307"/>
      <c r="AI92" s="307"/>
      <c r="AJ92" s="307"/>
    </row>
    <row r="93" spans="1:39" ht="26.25" customHeight="1">
      <c r="A93" s="49" t="s">
        <v>267</v>
      </c>
      <c r="B93" s="39"/>
      <c r="C93" s="39"/>
      <c r="D93" s="100"/>
      <c r="E93" s="39"/>
      <c r="F93" s="308" t="s">
        <v>266</v>
      </c>
      <c r="G93" s="308"/>
      <c r="I93" s="49" t="s">
        <v>267</v>
      </c>
      <c r="J93" s="39"/>
      <c r="K93" s="39"/>
      <c r="L93" s="100"/>
      <c r="M93" s="39"/>
      <c r="N93" s="308" t="s">
        <v>266</v>
      </c>
      <c r="O93" s="308"/>
      <c r="Q93" s="49" t="s">
        <v>267</v>
      </c>
      <c r="R93" s="39"/>
      <c r="S93" s="39"/>
      <c r="T93" s="100"/>
      <c r="U93" s="39"/>
      <c r="V93" s="308" t="s">
        <v>266</v>
      </c>
      <c r="W93" s="308"/>
      <c r="Y93" s="49" t="s">
        <v>267</v>
      </c>
      <c r="Z93" s="39"/>
      <c r="AA93" s="39"/>
      <c r="AB93" s="100"/>
      <c r="AC93" s="39"/>
      <c r="AD93" s="308" t="s">
        <v>266</v>
      </c>
      <c r="AE93" s="308"/>
      <c r="AG93" s="49" t="s">
        <v>267</v>
      </c>
      <c r="AH93" s="39"/>
      <c r="AI93" s="39"/>
      <c r="AJ93" s="100"/>
      <c r="AK93" s="39"/>
      <c r="AL93" s="308" t="s">
        <v>266</v>
      </c>
      <c r="AM93" s="308"/>
    </row>
    <row r="94" spans="1:39" ht="19.5" customHeight="1">
      <c r="A94" s="49" t="s">
        <v>268</v>
      </c>
      <c r="B94" s="39"/>
      <c r="C94" s="39"/>
      <c r="D94" s="101" t="s">
        <v>11</v>
      </c>
      <c r="E94" s="39"/>
      <c r="F94" s="309" t="s">
        <v>23</v>
      </c>
      <c r="G94" s="309"/>
      <c r="I94" s="49" t="s">
        <v>268</v>
      </c>
      <c r="J94" s="39"/>
      <c r="K94" s="39"/>
      <c r="L94" s="101" t="s">
        <v>11</v>
      </c>
      <c r="M94" s="39"/>
      <c r="N94" s="309" t="s">
        <v>23</v>
      </c>
      <c r="O94" s="309"/>
      <c r="Q94" s="49" t="s">
        <v>268</v>
      </c>
      <c r="R94" s="39"/>
      <c r="S94" s="39"/>
      <c r="T94" s="101" t="s">
        <v>11</v>
      </c>
      <c r="U94" s="39"/>
      <c r="V94" s="309" t="s">
        <v>23</v>
      </c>
      <c r="W94" s="309"/>
      <c r="Y94" s="49" t="s">
        <v>268</v>
      </c>
      <c r="Z94" s="39"/>
      <c r="AA94" s="39"/>
      <c r="AB94" s="101" t="s">
        <v>11</v>
      </c>
      <c r="AC94" s="39"/>
      <c r="AD94" s="309" t="s">
        <v>23</v>
      </c>
      <c r="AE94" s="309"/>
      <c r="AG94" s="49" t="s">
        <v>268</v>
      </c>
      <c r="AH94" s="39"/>
      <c r="AI94" s="39"/>
      <c r="AJ94" s="101" t="s">
        <v>11</v>
      </c>
      <c r="AK94" s="39"/>
      <c r="AL94" s="309" t="s">
        <v>23</v>
      </c>
      <c r="AM94" s="309"/>
    </row>
    <row r="95" spans="1:39" ht="28.5" customHeight="1">
      <c r="A95" s="49" t="s">
        <v>504</v>
      </c>
      <c r="B95" s="25"/>
      <c r="C95" s="25"/>
      <c r="D95" s="25"/>
      <c r="E95" s="25"/>
      <c r="F95" s="25"/>
      <c r="G95" s="25"/>
      <c r="I95" s="49" t="str">
        <f>A95</f>
        <v>Исполнитель  Доброва Ю.В.</v>
      </c>
      <c r="J95" s="25"/>
      <c r="K95" s="25"/>
      <c r="L95" s="25"/>
      <c r="M95" s="25"/>
      <c r="N95" s="25"/>
      <c r="O95" s="25"/>
      <c r="Q95" s="49" t="str">
        <f>A95</f>
        <v>Исполнитель  Доброва Ю.В.</v>
      </c>
      <c r="R95" s="25"/>
      <c r="S95" s="25"/>
      <c r="T95" s="25"/>
      <c r="U95" s="25"/>
      <c r="V95" s="25"/>
      <c r="W95" s="25"/>
      <c r="Y95" s="49" t="str">
        <f>A95</f>
        <v>Исполнитель  Доброва Ю.В.</v>
      </c>
      <c r="Z95" s="25"/>
      <c r="AA95" s="25"/>
      <c r="AB95" s="25"/>
      <c r="AC95" s="25"/>
      <c r="AD95" s="25"/>
      <c r="AE95" s="25"/>
      <c r="AG95" s="49" t="str">
        <f>A95</f>
        <v>Исполнитель  Доброва Ю.В.</v>
      </c>
      <c r="AH95" s="25"/>
      <c r="AI95" s="25"/>
      <c r="AJ95" s="25"/>
      <c r="AK95" s="25"/>
      <c r="AL95" s="25"/>
      <c r="AM95" s="25"/>
    </row>
    <row r="96" spans="1:39" ht="18.75">
      <c r="A96" s="49" t="s">
        <v>268</v>
      </c>
      <c r="B96" s="25"/>
      <c r="C96" s="25"/>
      <c r="D96" s="25"/>
      <c r="E96" s="25"/>
      <c r="F96" s="25"/>
      <c r="G96" s="25"/>
      <c r="I96" s="49" t="s">
        <v>268</v>
      </c>
      <c r="J96" s="25"/>
      <c r="K96" s="25"/>
      <c r="L96" s="25"/>
      <c r="M96" s="25"/>
      <c r="N96" s="25"/>
      <c r="O96" s="25"/>
      <c r="Q96" s="49" t="s">
        <v>268</v>
      </c>
      <c r="R96" s="25"/>
      <c r="S96" s="25"/>
      <c r="T96" s="25"/>
      <c r="U96" s="25"/>
      <c r="V96" s="25"/>
      <c r="W96" s="25"/>
      <c r="Y96" s="49" t="s">
        <v>268</v>
      </c>
      <c r="Z96" s="25"/>
      <c r="AA96" s="25"/>
      <c r="AB96" s="25"/>
      <c r="AC96" s="25"/>
      <c r="AD96" s="25"/>
      <c r="AE96" s="25"/>
      <c r="AG96" s="49" t="s">
        <v>268</v>
      </c>
      <c r="AH96" s="25"/>
      <c r="AI96" s="25"/>
      <c r="AJ96" s="25"/>
      <c r="AK96" s="25"/>
      <c r="AL96" s="25"/>
      <c r="AM96" s="25"/>
    </row>
    <row r="97" spans="1:39" ht="18.75">
      <c r="A97" s="38" t="str">
        <f>'Заголовочная часть'!B16</f>
        <v>от "06"  сентября    2023 г.</v>
      </c>
      <c r="B97" s="12"/>
      <c r="C97" s="12"/>
      <c r="D97" s="12"/>
      <c r="E97" s="12"/>
      <c r="F97" s="12"/>
      <c r="G97" s="12"/>
      <c r="I97" s="38" t="str">
        <f>A97</f>
        <v>от "06"  сентября    2023 г.</v>
      </c>
      <c r="J97" s="12"/>
      <c r="K97" s="12"/>
      <c r="L97" s="12"/>
      <c r="M97" s="12"/>
      <c r="N97" s="12"/>
      <c r="O97" s="12"/>
      <c r="Q97" s="38" t="str">
        <f>A97</f>
        <v>от "06"  сентября    2023 г.</v>
      </c>
      <c r="R97" s="12"/>
      <c r="S97" s="12"/>
      <c r="T97" s="12"/>
      <c r="U97" s="12"/>
      <c r="V97" s="12"/>
      <c r="W97" s="12"/>
      <c r="Y97" s="38" t="str">
        <f>A97</f>
        <v>от "06"  сентября    2023 г.</v>
      </c>
      <c r="Z97" s="12"/>
      <c r="AA97" s="12"/>
      <c r="AB97" s="12"/>
      <c r="AC97" s="12"/>
      <c r="AD97" s="12"/>
      <c r="AE97" s="12"/>
      <c r="AG97" s="38" t="str">
        <f>A97</f>
        <v>от "06"  сентября    2023 г.</v>
      </c>
      <c r="AH97" s="12"/>
      <c r="AI97" s="12"/>
      <c r="AJ97" s="12"/>
      <c r="AK97" s="12"/>
      <c r="AL97" s="12"/>
      <c r="AM97" s="12"/>
    </row>
    <row r="99" spans="1:39" s="99" customFormat="1" ht="101.25" customHeight="1" hidden="1">
      <c r="A99" s="304" t="s">
        <v>332</v>
      </c>
      <c r="B99" s="304"/>
      <c r="C99" s="304"/>
      <c r="D99" s="304"/>
      <c r="E99" s="304"/>
      <c r="F99" s="304"/>
      <c r="G99" s="304"/>
      <c r="I99" s="304" t="s">
        <v>332</v>
      </c>
      <c r="J99" s="304"/>
      <c r="K99" s="304"/>
      <c r="L99" s="304"/>
      <c r="M99" s="304"/>
      <c r="N99" s="304"/>
      <c r="O99" s="304"/>
      <c r="Q99" s="304" t="s">
        <v>332</v>
      </c>
      <c r="R99" s="304"/>
      <c r="S99" s="304"/>
      <c r="T99" s="304"/>
      <c r="U99" s="304"/>
      <c r="V99" s="304"/>
      <c r="W99" s="304"/>
      <c r="Y99" s="304" t="s">
        <v>332</v>
      </c>
      <c r="Z99" s="304"/>
      <c r="AA99" s="304"/>
      <c r="AB99" s="304"/>
      <c r="AC99" s="304"/>
      <c r="AD99" s="304"/>
      <c r="AE99" s="304"/>
      <c r="AG99" s="304" t="s">
        <v>332</v>
      </c>
      <c r="AH99" s="304"/>
      <c r="AI99" s="304"/>
      <c r="AJ99" s="304"/>
      <c r="AK99" s="304"/>
      <c r="AL99" s="304"/>
      <c r="AM99" s="304"/>
    </row>
    <row r="100" spans="1:39" s="99" customFormat="1" ht="31.5" customHeight="1" hidden="1">
      <c r="A100" s="304" t="s">
        <v>333</v>
      </c>
      <c r="B100" s="304"/>
      <c r="C100" s="304"/>
      <c r="D100" s="304"/>
      <c r="E100" s="304"/>
      <c r="F100" s="304"/>
      <c r="G100" s="304"/>
      <c r="I100" s="304" t="s">
        <v>333</v>
      </c>
      <c r="J100" s="304"/>
      <c r="K100" s="304"/>
      <c r="L100" s="304"/>
      <c r="M100" s="304"/>
      <c r="N100" s="304"/>
      <c r="O100" s="304"/>
      <c r="Q100" s="304" t="s">
        <v>333</v>
      </c>
      <c r="R100" s="304"/>
      <c r="S100" s="304"/>
      <c r="T100" s="304"/>
      <c r="U100" s="304"/>
      <c r="V100" s="304"/>
      <c r="W100" s="304"/>
      <c r="Y100" s="304" t="s">
        <v>333</v>
      </c>
      <c r="Z100" s="304"/>
      <c r="AA100" s="304"/>
      <c r="AB100" s="304"/>
      <c r="AC100" s="304"/>
      <c r="AD100" s="304"/>
      <c r="AE100" s="304"/>
      <c r="AG100" s="304" t="s">
        <v>333</v>
      </c>
      <c r="AH100" s="304"/>
      <c r="AI100" s="304"/>
      <c r="AJ100" s="304"/>
      <c r="AK100" s="304"/>
      <c r="AL100" s="304"/>
      <c r="AM100" s="304"/>
    </row>
    <row r="101" spans="1:39" s="99" customFormat="1" ht="27.75" customHeight="1" hidden="1">
      <c r="A101" s="304" t="s">
        <v>334</v>
      </c>
      <c r="B101" s="304"/>
      <c r="C101" s="304"/>
      <c r="D101" s="304"/>
      <c r="E101" s="304"/>
      <c r="F101" s="304"/>
      <c r="G101" s="304"/>
      <c r="I101" s="304" t="s">
        <v>334</v>
      </c>
      <c r="J101" s="304"/>
      <c r="K101" s="304"/>
      <c r="L101" s="304"/>
      <c r="M101" s="304"/>
      <c r="N101" s="304"/>
      <c r="O101" s="304"/>
      <c r="Q101" s="304" t="s">
        <v>334</v>
      </c>
      <c r="R101" s="304"/>
      <c r="S101" s="304"/>
      <c r="T101" s="304"/>
      <c r="U101" s="304"/>
      <c r="V101" s="304"/>
      <c r="W101" s="304"/>
      <c r="Y101" s="304" t="s">
        <v>334</v>
      </c>
      <c r="Z101" s="304"/>
      <c r="AA101" s="304"/>
      <c r="AB101" s="304"/>
      <c r="AC101" s="304"/>
      <c r="AD101" s="304"/>
      <c r="AE101" s="304"/>
      <c r="AG101" s="304" t="s">
        <v>334</v>
      </c>
      <c r="AH101" s="304"/>
      <c r="AI101" s="304"/>
      <c r="AJ101" s="304"/>
      <c r="AK101" s="304"/>
      <c r="AL101" s="304"/>
      <c r="AM101" s="304"/>
    </row>
    <row r="102" spans="1:39" s="99" customFormat="1" ht="24.75" customHeight="1" hidden="1">
      <c r="A102" s="304" t="s">
        <v>335</v>
      </c>
      <c r="B102" s="304"/>
      <c r="C102" s="304"/>
      <c r="D102" s="304"/>
      <c r="E102" s="304"/>
      <c r="F102" s="304"/>
      <c r="G102" s="304"/>
      <c r="I102" s="304" t="s">
        <v>335</v>
      </c>
      <c r="J102" s="304"/>
      <c r="K102" s="304"/>
      <c r="L102" s="304"/>
      <c r="M102" s="304"/>
      <c r="N102" s="304"/>
      <c r="O102" s="304"/>
      <c r="Q102" s="304" t="s">
        <v>335</v>
      </c>
      <c r="R102" s="304"/>
      <c r="S102" s="304"/>
      <c r="T102" s="304"/>
      <c r="U102" s="304"/>
      <c r="V102" s="304"/>
      <c r="W102" s="304"/>
      <c r="Y102" s="304" t="s">
        <v>335</v>
      </c>
      <c r="Z102" s="304"/>
      <c r="AA102" s="304"/>
      <c r="AB102" s="304"/>
      <c r="AC102" s="304"/>
      <c r="AD102" s="304"/>
      <c r="AE102" s="304"/>
      <c r="AG102" s="304" t="s">
        <v>335</v>
      </c>
      <c r="AH102" s="304"/>
      <c r="AI102" s="304"/>
      <c r="AJ102" s="304"/>
      <c r="AK102" s="304"/>
      <c r="AL102" s="304"/>
      <c r="AM102" s="304"/>
    </row>
  </sheetData>
  <sheetProtection/>
  <mergeCells count="64">
    <mergeCell ref="A1:G1"/>
    <mergeCell ref="A3:A4"/>
    <mergeCell ref="B3:B4"/>
    <mergeCell ref="C3:C4"/>
    <mergeCell ref="F93:G93"/>
    <mergeCell ref="F94:G94"/>
    <mergeCell ref="D3:G3"/>
    <mergeCell ref="A92:D92"/>
    <mergeCell ref="Q1:W1"/>
    <mergeCell ref="Q3:Q4"/>
    <mergeCell ref="I1:O1"/>
    <mergeCell ref="I2:O2"/>
    <mergeCell ref="I3:I4"/>
    <mergeCell ref="J3:J4"/>
    <mergeCell ref="K3:K4"/>
    <mergeCell ref="L3:O3"/>
    <mergeCell ref="S3:S4"/>
    <mergeCell ref="T3:W3"/>
    <mergeCell ref="I92:L92"/>
    <mergeCell ref="Q101:W101"/>
    <mergeCell ref="Q102:W102"/>
    <mergeCell ref="N93:O93"/>
    <mergeCell ref="N94:O94"/>
    <mergeCell ref="V93:W93"/>
    <mergeCell ref="V94:W94"/>
    <mergeCell ref="Y1:AE1"/>
    <mergeCell ref="Y3:Y4"/>
    <mergeCell ref="Z3:Z4"/>
    <mergeCell ref="AA3:AA4"/>
    <mergeCell ref="AB3:AE3"/>
    <mergeCell ref="Y92:AB92"/>
    <mergeCell ref="Q2:W2"/>
    <mergeCell ref="R3:R4"/>
    <mergeCell ref="AG1:AM1"/>
    <mergeCell ref="AG3:AG4"/>
    <mergeCell ref="AL93:AM93"/>
    <mergeCell ref="AL94:AM94"/>
    <mergeCell ref="Y2:AE2"/>
    <mergeCell ref="AG2:AM2"/>
    <mergeCell ref="AH3:AH4"/>
    <mergeCell ref="AI3:AI4"/>
    <mergeCell ref="AJ3:AM3"/>
    <mergeCell ref="AG92:AJ92"/>
    <mergeCell ref="Q99:W99"/>
    <mergeCell ref="Q100:W100"/>
    <mergeCell ref="Y99:AE99"/>
    <mergeCell ref="Y100:AE100"/>
    <mergeCell ref="AD93:AE93"/>
    <mergeCell ref="AD94:AE94"/>
    <mergeCell ref="Q92:T92"/>
    <mergeCell ref="A99:G99"/>
    <mergeCell ref="A100:G100"/>
    <mergeCell ref="A101:G101"/>
    <mergeCell ref="A102:G102"/>
    <mergeCell ref="I99:O99"/>
    <mergeCell ref="I100:O100"/>
    <mergeCell ref="I101:O101"/>
    <mergeCell ref="I102:O102"/>
    <mergeCell ref="Y101:AE101"/>
    <mergeCell ref="Y102:AE102"/>
    <mergeCell ref="AG99:AM99"/>
    <mergeCell ref="AG100:AM100"/>
    <mergeCell ref="AG101:AM101"/>
    <mergeCell ref="AG102:AM102"/>
  </mergeCells>
  <printOptions/>
  <pageMargins left="0.31496062992125984" right="0" top="0.7480314960629921" bottom="0.1968503937007874" header="0" footer="0"/>
  <pageSetup fitToWidth="5" horizontalDpi="600" verticalDpi="600" orientation="portrait" paperSize="9" scale="42" r:id="rId1"/>
  <colBreaks count="1" manualBreakCount="1">
    <brk id="8" max="100" man="1"/>
  </colBreaks>
</worksheet>
</file>

<file path=xl/worksheets/sheet3.xml><?xml version="1.0" encoding="utf-8"?>
<worksheet xmlns="http://schemas.openxmlformats.org/spreadsheetml/2006/main" xmlns:r="http://schemas.openxmlformats.org/officeDocument/2006/relationships">
  <sheetPr>
    <tabColor rgb="FF92D050"/>
    <pageSetUpPr fitToPage="1"/>
  </sheetPr>
  <dimension ref="A1:U66"/>
  <sheetViews>
    <sheetView view="pageBreakPreview" zoomScale="50" zoomScaleNormal="70" zoomScaleSheetLayoutView="50" workbookViewId="0" topLeftCell="A4">
      <selection activeCell="J31" sqref="J31"/>
    </sheetView>
  </sheetViews>
  <sheetFormatPr defaultColWidth="9.140625" defaultRowHeight="15"/>
  <cols>
    <col min="1" max="1" width="11.00390625" style="85" customWidth="1"/>
    <col min="2" max="2" width="61.8515625" style="85" customWidth="1"/>
    <col min="3" max="3" width="14.00390625" style="85" customWidth="1"/>
    <col min="4" max="6" width="12.140625" style="85" customWidth="1"/>
    <col min="7" max="14" width="20.00390625" style="85" customWidth="1"/>
    <col min="15" max="15" width="20.421875" style="85" customWidth="1"/>
    <col min="16" max="16" width="18.7109375" style="85" customWidth="1"/>
    <col min="17" max="17" width="15.8515625" style="85" customWidth="1"/>
    <col min="18" max="16384" width="9.140625" style="85" customWidth="1"/>
  </cols>
  <sheetData>
    <row r="1" ht="18.75">
      <c r="O1" s="118"/>
    </row>
    <row r="2" ht="13.5" customHeight="1">
      <c r="B2" s="119"/>
    </row>
    <row r="3" spans="2:15" ht="18.75">
      <c r="B3" s="315" t="s">
        <v>249</v>
      </c>
      <c r="C3" s="316"/>
      <c r="D3" s="316"/>
      <c r="E3" s="316"/>
      <c r="F3" s="316"/>
      <c r="G3" s="316"/>
      <c r="H3" s="316"/>
      <c r="I3" s="316"/>
      <c r="J3" s="316"/>
      <c r="K3" s="316"/>
      <c r="L3" s="316"/>
      <c r="M3" s="316"/>
      <c r="N3" s="316"/>
      <c r="O3" s="120"/>
    </row>
    <row r="4" spans="2:15" ht="15" customHeight="1">
      <c r="B4" s="121"/>
      <c r="C4" s="121"/>
      <c r="D4" s="121"/>
      <c r="E4" s="121"/>
      <c r="F4" s="121"/>
      <c r="G4" s="121"/>
      <c r="H4" s="121"/>
      <c r="I4" s="121"/>
      <c r="J4" s="121"/>
      <c r="K4" s="121"/>
      <c r="L4" s="121"/>
      <c r="M4" s="121"/>
      <c r="N4" s="121"/>
      <c r="O4" s="121"/>
    </row>
    <row r="5" ht="15" customHeight="1">
      <c r="B5" s="119"/>
    </row>
    <row r="6" spans="1:15" ht="30" customHeight="1">
      <c r="A6" s="327" t="s">
        <v>31</v>
      </c>
      <c r="B6" s="320" t="s">
        <v>8</v>
      </c>
      <c r="C6" s="320" t="s">
        <v>15</v>
      </c>
      <c r="D6" s="320" t="s">
        <v>20</v>
      </c>
      <c r="E6" s="317" t="s">
        <v>336</v>
      </c>
      <c r="F6" s="320" t="s">
        <v>304</v>
      </c>
      <c r="G6" s="320" t="s">
        <v>21</v>
      </c>
      <c r="H6" s="320"/>
      <c r="I6" s="320"/>
      <c r="J6" s="320"/>
      <c r="K6" s="320"/>
      <c r="L6" s="320"/>
      <c r="M6" s="320"/>
      <c r="N6" s="320"/>
      <c r="O6" s="320"/>
    </row>
    <row r="7" spans="1:15" ht="20.25" customHeight="1">
      <c r="A7" s="328"/>
      <c r="B7" s="320"/>
      <c r="C7" s="320"/>
      <c r="D7" s="320"/>
      <c r="E7" s="318"/>
      <c r="F7" s="320"/>
      <c r="G7" s="320" t="s">
        <v>19</v>
      </c>
      <c r="H7" s="320"/>
      <c r="I7" s="320"/>
      <c r="J7" s="320" t="s">
        <v>14</v>
      </c>
      <c r="K7" s="320"/>
      <c r="L7" s="320"/>
      <c r="M7" s="320"/>
      <c r="N7" s="320"/>
      <c r="O7" s="320"/>
    </row>
    <row r="8" spans="1:15" ht="74.25" customHeight="1">
      <c r="A8" s="328"/>
      <c r="B8" s="320"/>
      <c r="C8" s="320"/>
      <c r="D8" s="320"/>
      <c r="E8" s="318"/>
      <c r="F8" s="320"/>
      <c r="G8" s="320"/>
      <c r="H8" s="320"/>
      <c r="I8" s="320"/>
      <c r="J8" s="321" t="s">
        <v>489</v>
      </c>
      <c r="K8" s="322"/>
      <c r="L8" s="323"/>
      <c r="M8" s="321" t="s">
        <v>490</v>
      </c>
      <c r="N8" s="322"/>
      <c r="O8" s="323"/>
    </row>
    <row r="9" spans="1:15" ht="111" customHeight="1">
      <c r="A9" s="329"/>
      <c r="B9" s="320"/>
      <c r="C9" s="320"/>
      <c r="D9" s="320"/>
      <c r="E9" s="319"/>
      <c r="F9" s="320"/>
      <c r="G9" s="27" t="str">
        <f>'Раздел 1'!D4</f>
        <v>на 2023 г. (текущий финансовый год)</v>
      </c>
      <c r="H9" s="27" t="str">
        <f>'Раздел 1'!E4</f>
        <v>на 2024 г.                 (1-ый год планового периода)</v>
      </c>
      <c r="I9" s="27" t="str">
        <f>'Раздел 1'!F4</f>
        <v>на 2025 г.                   (2-ой год планового периода)</v>
      </c>
      <c r="J9" s="27" t="str">
        <f>G9</f>
        <v>на 2023 г. (текущий финансовый год)</v>
      </c>
      <c r="K9" s="27" t="str">
        <f>H9</f>
        <v>на 2024 г.                 (1-ый год планового периода)</v>
      </c>
      <c r="L9" s="27" t="str">
        <f>I9</f>
        <v>на 2025 г.                   (2-ой год планового периода)</v>
      </c>
      <c r="M9" s="27" t="str">
        <f>G9</f>
        <v>на 2023 г. (текущий финансовый год)</v>
      </c>
      <c r="N9" s="27" t="str">
        <f>H9</f>
        <v>на 2024 г.                 (1-ый год планового периода)</v>
      </c>
      <c r="O9" s="27" t="str">
        <f>I9</f>
        <v>на 2025 г.                   (2-ой год планового периода)</v>
      </c>
    </row>
    <row r="10" spans="1:15" ht="18" customHeight="1">
      <c r="A10" s="122">
        <v>1</v>
      </c>
      <c r="B10" s="27">
        <v>2</v>
      </c>
      <c r="C10" s="27">
        <v>3</v>
      </c>
      <c r="D10" s="27">
        <v>4</v>
      </c>
      <c r="E10" s="123" t="s">
        <v>261</v>
      </c>
      <c r="F10" s="123" t="s">
        <v>305</v>
      </c>
      <c r="G10" s="27">
        <v>7</v>
      </c>
      <c r="H10" s="27">
        <v>8</v>
      </c>
      <c r="I10" s="27">
        <v>9</v>
      </c>
      <c r="J10" s="27">
        <v>10</v>
      </c>
      <c r="K10" s="27">
        <v>11</v>
      </c>
      <c r="L10" s="27">
        <v>12</v>
      </c>
      <c r="M10" s="27">
        <v>13</v>
      </c>
      <c r="N10" s="27">
        <v>14</v>
      </c>
      <c r="O10" s="27">
        <v>15</v>
      </c>
    </row>
    <row r="11" spans="1:21" ht="57" customHeight="1">
      <c r="A11" s="122" t="s">
        <v>58</v>
      </c>
      <c r="B11" s="106" t="s">
        <v>337</v>
      </c>
      <c r="C11" s="123" t="s">
        <v>250</v>
      </c>
      <c r="D11" s="27" t="s">
        <v>203</v>
      </c>
      <c r="E11" s="27" t="s">
        <v>203</v>
      </c>
      <c r="F11" s="27" t="s">
        <v>203</v>
      </c>
      <c r="G11" s="124">
        <f>J11+M11</f>
        <v>12091113.15</v>
      </c>
      <c r="H11" s="124">
        <f>K11+N11</f>
        <v>8284700</v>
      </c>
      <c r="I11" s="124">
        <f aca="true" t="shared" si="0" ref="G11:I13">L11+O11</f>
        <v>8284700</v>
      </c>
      <c r="J11" s="124">
        <f aca="true" t="shared" si="1" ref="J11:O11">J12+J14</f>
        <v>9602886.25</v>
      </c>
      <c r="K11" s="124">
        <f>K12+K14</f>
        <v>5003400</v>
      </c>
      <c r="L11" s="124">
        <f t="shared" si="1"/>
        <v>5003400</v>
      </c>
      <c r="M11" s="124">
        <f t="shared" si="1"/>
        <v>2488226.9</v>
      </c>
      <c r="N11" s="124">
        <f t="shared" si="1"/>
        <v>3281300</v>
      </c>
      <c r="O11" s="124">
        <f t="shared" si="1"/>
        <v>3281300</v>
      </c>
      <c r="P11" s="125">
        <v>5246066.72</v>
      </c>
      <c r="Q11" s="125">
        <v>2924200</v>
      </c>
      <c r="R11" s="85">
        <v>2924200</v>
      </c>
      <c r="S11" s="85">
        <v>1864790.17</v>
      </c>
      <c r="T11" s="85">
        <v>2270200</v>
      </c>
      <c r="U11" s="85">
        <v>2270200</v>
      </c>
    </row>
    <row r="12" spans="1:17" ht="64.5" customHeight="1">
      <c r="A12" s="122" t="s">
        <v>124</v>
      </c>
      <c r="B12" s="107" t="s">
        <v>252</v>
      </c>
      <c r="C12" s="123" t="s">
        <v>251</v>
      </c>
      <c r="D12" s="27">
        <v>2022</v>
      </c>
      <c r="E12" s="27" t="s">
        <v>203</v>
      </c>
      <c r="F12" s="27" t="s">
        <v>203</v>
      </c>
      <c r="G12" s="124">
        <f t="shared" si="0"/>
        <v>1064283.73</v>
      </c>
      <c r="H12" s="124">
        <f t="shared" si="0"/>
        <v>0</v>
      </c>
      <c r="I12" s="124">
        <f t="shared" si="0"/>
        <v>0</v>
      </c>
      <c r="J12" s="128">
        <f>300152</f>
        <v>300152</v>
      </c>
      <c r="K12" s="124"/>
      <c r="L12" s="124"/>
      <c r="M12" s="124">
        <v>764131.73</v>
      </c>
      <c r="N12" s="124"/>
      <c r="O12" s="124"/>
      <c r="P12" s="125"/>
      <c r="Q12" s="125"/>
    </row>
    <row r="13" spans="1:17" ht="28.5" customHeight="1">
      <c r="A13" s="122" t="s">
        <v>146</v>
      </c>
      <c r="B13" s="108" t="s">
        <v>338</v>
      </c>
      <c r="C13" s="123"/>
      <c r="D13" s="27"/>
      <c r="E13" s="27" t="s">
        <v>203</v>
      </c>
      <c r="F13" s="27" t="s">
        <v>203</v>
      </c>
      <c r="G13" s="124">
        <f t="shared" si="0"/>
        <v>0</v>
      </c>
      <c r="H13" s="124">
        <f t="shared" si="0"/>
        <v>0</v>
      </c>
      <c r="I13" s="124">
        <f t="shared" si="0"/>
        <v>0</v>
      </c>
      <c r="J13" s="124"/>
      <c r="K13" s="124"/>
      <c r="L13" s="124"/>
      <c r="M13" s="124"/>
      <c r="N13" s="124"/>
      <c r="O13" s="124"/>
      <c r="P13" s="125"/>
      <c r="Q13" s="125"/>
    </row>
    <row r="14" spans="1:15" ht="66" customHeight="1">
      <c r="A14" s="123" t="s">
        <v>125</v>
      </c>
      <c r="B14" s="107" t="s">
        <v>253</v>
      </c>
      <c r="C14" s="27">
        <v>262000</v>
      </c>
      <c r="D14" s="27">
        <v>2023</v>
      </c>
      <c r="E14" s="27" t="s">
        <v>203</v>
      </c>
      <c r="F14" s="27" t="s">
        <v>203</v>
      </c>
      <c r="G14" s="124">
        <f aca="true" t="shared" si="2" ref="G14:I15">J14+M14</f>
        <v>11026829.42</v>
      </c>
      <c r="H14" s="124">
        <f t="shared" si="2"/>
        <v>8284700</v>
      </c>
      <c r="I14" s="124">
        <f t="shared" si="2"/>
        <v>8284700</v>
      </c>
      <c r="J14" s="124">
        <f aca="true" t="shared" si="3" ref="J14:O14">J15+J23+J34</f>
        <v>9302734.25</v>
      </c>
      <c r="K14" s="124">
        <f t="shared" si="3"/>
        <v>5003400</v>
      </c>
      <c r="L14" s="124">
        <f t="shared" si="3"/>
        <v>5003400</v>
      </c>
      <c r="M14" s="124">
        <f t="shared" si="3"/>
        <v>1724095.17</v>
      </c>
      <c r="N14" s="124">
        <f t="shared" si="3"/>
        <v>3281300</v>
      </c>
      <c r="O14" s="124">
        <f t="shared" si="3"/>
        <v>3281300</v>
      </c>
    </row>
    <row r="15" spans="1:16" ht="87" customHeight="1">
      <c r="A15" s="123" t="s">
        <v>148</v>
      </c>
      <c r="B15" s="109" t="s">
        <v>254</v>
      </c>
      <c r="C15" s="27">
        <v>262100</v>
      </c>
      <c r="D15" s="27" t="s">
        <v>203</v>
      </c>
      <c r="E15" s="27" t="s">
        <v>203</v>
      </c>
      <c r="F15" s="27" t="s">
        <v>203</v>
      </c>
      <c r="G15" s="124">
        <f t="shared" si="2"/>
        <v>5775154.25</v>
      </c>
      <c r="H15" s="124">
        <f t="shared" si="2"/>
        <v>5003400</v>
      </c>
      <c r="I15" s="124">
        <f t="shared" si="2"/>
        <v>5003400</v>
      </c>
      <c r="J15" s="124">
        <f aca="true" t="shared" si="4" ref="J15:O15">SUM(J17:J22)</f>
        <v>5775154.25</v>
      </c>
      <c r="K15" s="124">
        <f t="shared" si="4"/>
        <v>5003400</v>
      </c>
      <c r="L15" s="124">
        <f t="shared" si="4"/>
        <v>5003400</v>
      </c>
      <c r="M15" s="124">
        <f t="shared" si="4"/>
        <v>0</v>
      </c>
      <c r="N15" s="124">
        <f t="shared" si="4"/>
        <v>0</v>
      </c>
      <c r="O15" s="124">
        <f t="shared" si="4"/>
        <v>0</v>
      </c>
      <c r="P15" s="85" t="s">
        <v>270</v>
      </c>
    </row>
    <row r="16" spans="1:15" ht="27" customHeight="1">
      <c r="A16" s="123" t="s">
        <v>263</v>
      </c>
      <c r="B16" s="107" t="s">
        <v>338</v>
      </c>
      <c r="C16" s="27"/>
      <c r="D16" s="27"/>
      <c r="E16" s="27"/>
      <c r="F16" s="27"/>
      <c r="G16" s="124"/>
      <c r="H16" s="124"/>
      <c r="I16" s="124"/>
      <c r="J16" s="124"/>
      <c r="K16" s="124"/>
      <c r="L16" s="124"/>
      <c r="M16" s="124"/>
      <c r="N16" s="124"/>
      <c r="O16" s="124"/>
    </row>
    <row r="17" spans="1:15" ht="39" customHeight="1">
      <c r="A17" s="123"/>
      <c r="B17" s="50" t="s">
        <v>300</v>
      </c>
      <c r="C17" s="27"/>
      <c r="D17" s="27">
        <v>2022</v>
      </c>
      <c r="E17" s="27">
        <v>244</v>
      </c>
      <c r="F17" s="27" t="s">
        <v>203</v>
      </c>
      <c r="G17" s="124">
        <f aca="true" t="shared" si="5" ref="G17:I23">J17+M17</f>
        <v>3730148</v>
      </c>
      <c r="H17" s="124">
        <f t="shared" si="5"/>
        <v>0</v>
      </c>
      <c r="I17" s="124">
        <f t="shared" si="5"/>
        <v>0</v>
      </c>
      <c r="J17" s="124">
        <f>'Раздел 1'!L65+'Раздел 1'!T65-300152</f>
        <v>3730148</v>
      </c>
      <c r="K17" s="124"/>
      <c r="L17" s="124"/>
      <c r="M17" s="124"/>
      <c r="N17" s="124"/>
      <c r="O17" s="124"/>
    </row>
    <row r="18" spans="1:15" ht="34.5" customHeight="1">
      <c r="A18" s="123"/>
      <c r="B18" s="50" t="s">
        <v>301</v>
      </c>
      <c r="C18" s="27"/>
      <c r="D18" s="27">
        <v>2022</v>
      </c>
      <c r="E18" s="27">
        <v>247</v>
      </c>
      <c r="F18" s="27" t="s">
        <v>203</v>
      </c>
      <c r="G18" s="124">
        <f t="shared" si="5"/>
        <v>2045006.25</v>
      </c>
      <c r="H18" s="124">
        <f t="shared" si="5"/>
        <v>0</v>
      </c>
      <c r="I18" s="124">
        <f t="shared" si="5"/>
        <v>0</v>
      </c>
      <c r="J18" s="124">
        <f>'Раздел 1'!L84+'Раздел 1'!T84</f>
        <v>2045006.25</v>
      </c>
      <c r="K18" s="124"/>
      <c r="L18" s="124"/>
      <c r="M18" s="124"/>
      <c r="N18" s="124"/>
      <c r="O18" s="124"/>
    </row>
    <row r="19" spans="1:15" ht="39" customHeight="1">
      <c r="A19" s="123"/>
      <c r="B19" s="50" t="s">
        <v>300</v>
      </c>
      <c r="C19" s="27"/>
      <c r="D19" s="27">
        <v>2023</v>
      </c>
      <c r="E19" s="27">
        <v>244</v>
      </c>
      <c r="F19" s="27" t="s">
        <v>203</v>
      </c>
      <c r="G19" s="124">
        <f t="shared" si="5"/>
        <v>0</v>
      </c>
      <c r="H19" s="124">
        <f t="shared" si="5"/>
        <v>3128700</v>
      </c>
      <c r="I19" s="124">
        <f t="shared" si="5"/>
        <v>0</v>
      </c>
      <c r="J19" s="124"/>
      <c r="K19" s="124">
        <f>'Раздел 1'!M65+'Раздел 1'!U65</f>
        <v>3128700</v>
      </c>
      <c r="L19" s="124"/>
      <c r="M19" s="124"/>
      <c r="N19" s="124"/>
      <c r="O19" s="124"/>
    </row>
    <row r="20" spans="1:15" ht="34.5" customHeight="1">
      <c r="A20" s="123"/>
      <c r="B20" s="50" t="s">
        <v>301</v>
      </c>
      <c r="C20" s="27"/>
      <c r="D20" s="27">
        <v>2023</v>
      </c>
      <c r="E20" s="27">
        <v>247</v>
      </c>
      <c r="F20" s="27" t="s">
        <v>203</v>
      </c>
      <c r="G20" s="124">
        <f t="shared" si="5"/>
        <v>0</v>
      </c>
      <c r="H20" s="124">
        <f t="shared" si="5"/>
        <v>1874700</v>
      </c>
      <c r="I20" s="124">
        <f t="shared" si="5"/>
        <v>0</v>
      </c>
      <c r="J20" s="124"/>
      <c r="K20" s="124">
        <f>'Раздел 1'!M84+'Раздел 1'!U84</f>
        <v>1874700</v>
      </c>
      <c r="L20" s="124"/>
      <c r="M20" s="124"/>
      <c r="N20" s="124"/>
      <c r="O20" s="124"/>
    </row>
    <row r="21" spans="1:16" ht="39" customHeight="1">
      <c r="A21" s="123"/>
      <c r="B21" s="50" t="s">
        <v>300</v>
      </c>
      <c r="C21" s="27"/>
      <c r="D21" s="27">
        <v>2024</v>
      </c>
      <c r="E21" s="27">
        <v>244</v>
      </c>
      <c r="F21" s="27" t="s">
        <v>203</v>
      </c>
      <c r="G21" s="124">
        <f t="shared" si="5"/>
        <v>0</v>
      </c>
      <c r="H21" s="124">
        <f t="shared" si="5"/>
        <v>0</v>
      </c>
      <c r="I21" s="124">
        <f t="shared" si="5"/>
        <v>3128700</v>
      </c>
      <c r="J21" s="124"/>
      <c r="K21" s="124"/>
      <c r="L21" s="124">
        <f>'Раздел 1'!N65+'Раздел 1'!V65</f>
        <v>3128700</v>
      </c>
      <c r="M21" s="124"/>
      <c r="N21" s="124"/>
      <c r="O21" s="124"/>
      <c r="P21" s="125"/>
    </row>
    <row r="22" spans="1:15" ht="34.5" customHeight="1">
      <c r="A22" s="123"/>
      <c r="B22" s="50" t="s">
        <v>301</v>
      </c>
      <c r="C22" s="27"/>
      <c r="D22" s="27">
        <v>2024</v>
      </c>
      <c r="E22" s="27">
        <v>247</v>
      </c>
      <c r="F22" s="27" t="s">
        <v>203</v>
      </c>
      <c r="G22" s="124">
        <f t="shared" si="5"/>
        <v>0</v>
      </c>
      <c r="H22" s="124">
        <f t="shared" si="5"/>
        <v>0</v>
      </c>
      <c r="I22" s="124">
        <f t="shared" si="5"/>
        <v>1874700</v>
      </c>
      <c r="J22" s="124"/>
      <c r="K22" s="124"/>
      <c r="L22" s="124">
        <f>'Раздел 1'!N84+'Раздел 1'!V84</f>
        <v>1874700</v>
      </c>
      <c r="M22" s="124"/>
      <c r="N22" s="124"/>
      <c r="O22" s="124"/>
    </row>
    <row r="23" spans="1:15" ht="84" customHeight="1">
      <c r="A23" s="123" t="s">
        <v>255</v>
      </c>
      <c r="B23" s="109" t="s">
        <v>256</v>
      </c>
      <c r="C23" s="27">
        <v>262200</v>
      </c>
      <c r="D23" s="27" t="s">
        <v>203</v>
      </c>
      <c r="E23" s="27" t="s">
        <v>203</v>
      </c>
      <c r="F23" s="27" t="s">
        <v>203</v>
      </c>
      <c r="G23" s="124">
        <f t="shared" si="5"/>
        <v>2427580</v>
      </c>
      <c r="H23" s="124">
        <f t="shared" si="5"/>
        <v>0</v>
      </c>
      <c r="I23" s="124">
        <f t="shared" si="5"/>
        <v>0</v>
      </c>
      <c r="J23" s="124">
        <f>SUM(J25:J33)</f>
        <v>2427580</v>
      </c>
      <c r="K23" s="124">
        <f>SUM(K25:K33)</f>
        <v>0</v>
      </c>
      <c r="L23" s="124">
        <f>SUM(L25:L26)</f>
        <v>0</v>
      </c>
      <c r="M23" s="124">
        <f>SUM(M25:M26)</f>
        <v>0</v>
      </c>
      <c r="N23" s="124">
        <f>SUM(N25:N26)</f>
        <v>0</v>
      </c>
      <c r="O23" s="124">
        <f>SUM(O25:O26)</f>
        <v>0</v>
      </c>
    </row>
    <row r="24" spans="1:15" ht="27" customHeight="1">
      <c r="A24" s="123"/>
      <c r="B24" s="107" t="s">
        <v>338</v>
      </c>
      <c r="C24" s="27"/>
      <c r="D24" s="27" t="s">
        <v>203</v>
      </c>
      <c r="E24" s="27" t="s">
        <v>203</v>
      </c>
      <c r="F24" s="27" t="s">
        <v>203</v>
      </c>
      <c r="G24" s="124"/>
      <c r="H24" s="124"/>
      <c r="I24" s="124"/>
      <c r="J24" s="124"/>
      <c r="K24" s="124"/>
      <c r="L24" s="124"/>
      <c r="M24" s="124"/>
      <c r="N24" s="124"/>
      <c r="O24" s="124"/>
    </row>
    <row r="25" spans="1:15" s="12" customFormat="1" ht="51" customHeight="1">
      <c r="A25" s="123" t="s">
        <v>257</v>
      </c>
      <c r="B25" s="54" t="s">
        <v>431</v>
      </c>
      <c r="C25" s="27">
        <v>262210</v>
      </c>
      <c r="D25" s="27">
        <v>2023</v>
      </c>
      <c r="E25" s="27">
        <v>244</v>
      </c>
      <c r="F25" s="27" t="s">
        <v>203</v>
      </c>
      <c r="G25" s="124">
        <f>J25+M25</f>
        <v>1818720</v>
      </c>
      <c r="H25" s="124">
        <f>K25+N25</f>
        <v>0</v>
      </c>
      <c r="I25" s="124"/>
      <c r="J25" s="124">
        <f>'Иные цели'!E30+'Иные цели'!G78</f>
        <v>1818720</v>
      </c>
      <c r="K25" s="124"/>
      <c r="L25" s="124"/>
      <c r="M25" s="124"/>
      <c r="N25" s="124"/>
      <c r="O25" s="124"/>
    </row>
    <row r="26" spans="1:15" s="12" customFormat="1" ht="129" customHeight="1">
      <c r="A26" s="123" t="s">
        <v>432</v>
      </c>
      <c r="B26" s="126" t="s">
        <v>433</v>
      </c>
      <c r="C26" s="27">
        <f aca="true" t="shared" si="6" ref="C26:C33">C25+1</f>
        <v>262211</v>
      </c>
      <c r="D26" s="27">
        <v>2022</v>
      </c>
      <c r="E26" s="27">
        <v>244</v>
      </c>
      <c r="F26" s="27" t="s">
        <v>203</v>
      </c>
      <c r="G26" s="124">
        <f aca="true" t="shared" si="7" ref="G26:G34">J26+M26</f>
        <v>150000</v>
      </c>
      <c r="H26" s="124"/>
      <c r="I26" s="124"/>
      <c r="J26" s="124">
        <v>150000</v>
      </c>
      <c r="K26" s="124"/>
      <c r="L26" s="124"/>
      <c r="M26" s="124"/>
      <c r="N26" s="124"/>
      <c r="O26" s="124"/>
    </row>
    <row r="27" spans="1:15" ht="78" customHeight="1">
      <c r="A27" s="123" t="s">
        <v>434</v>
      </c>
      <c r="B27" s="126" t="s">
        <v>547</v>
      </c>
      <c r="C27" s="27">
        <f t="shared" si="6"/>
        <v>262212</v>
      </c>
      <c r="D27" s="27">
        <v>2022</v>
      </c>
      <c r="E27" s="27">
        <v>244</v>
      </c>
      <c r="F27" s="27" t="s">
        <v>203</v>
      </c>
      <c r="G27" s="124">
        <f t="shared" si="7"/>
        <v>85700</v>
      </c>
      <c r="H27" s="124"/>
      <c r="I27" s="124"/>
      <c r="J27" s="124">
        <f>'Иные цели'!X30</f>
        <v>85700</v>
      </c>
      <c r="K27" s="124"/>
      <c r="L27" s="124"/>
      <c r="M27" s="124"/>
      <c r="N27" s="124"/>
      <c r="O27" s="124"/>
    </row>
    <row r="28" spans="1:15" s="12" customFormat="1" ht="63.75" customHeight="1">
      <c r="A28" s="123" t="s">
        <v>460</v>
      </c>
      <c r="B28" s="127" t="s">
        <v>553</v>
      </c>
      <c r="C28" s="27">
        <f>C26+1</f>
        <v>262212</v>
      </c>
      <c r="D28" s="27">
        <v>2023</v>
      </c>
      <c r="E28" s="27">
        <v>244</v>
      </c>
      <c r="F28" s="27" t="s">
        <v>203</v>
      </c>
      <c r="G28" s="124">
        <f t="shared" si="7"/>
        <v>1900</v>
      </c>
      <c r="H28" s="124"/>
      <c r="I28" s="124"/>
      <c r="J28" s="124">
        <v>1900</v>
      </c>
      <c r="K28" s="124"/>
      <c r="L28" s="124"/>
      <c r="M28" s="124"/>
      <c r="N28" s="124"/>
      <c r="O28" s="124"/>
    </row>
    <row r="29" spans="1:15" s="12" customFormat="1" ht="63.75" customHeight="1">
      <c r="A29" s="123" t="s">
        <v>462</v>
      </c>
      <c r="B29" s="64" t="s">
        <v>580</v>
      </c>
      <c r="C29" s="27">
        <f>C27+1</f>
        <v>262213</v>
      </c>
      <c r="D29" s="27">
        <v>2023</v>
      </c>
      <c r="E29" s="27">
        <v>244</v>
      </c>
      <c r="F29" s="27" t="s">
        <v>203</v>
      </c>
      <c r="G29" s="124">
        <f t="shared" si="7"/>
        <v>1600</v>
      </c>
      <c r="H29" s="124"/>
      <c r="I29" s="124"/>
      <c r="J29" s="283">
        <v>1600</v>
      </c>
      <c r="K29" s="124"/>
      <c r="L29" s="124"/>
      <c r="M29" s="124"/>
      <c r="N29" s="124"/>
      <c r="O29" s="124"/>
    </row>
    <row r="30" spans="1:15" s="12" customFormat="1" ht="102.75" customHeight="1">
      <c r="A30" s="123" t="s">
        <v>456</v>
      </c>
      <c r="B30" s="126" t="s">
        <v>560</v>
      </c>
      <c r="C30" s="27">
        <f>C28+1</f>
        <v>262213</v>
      </c>
      <c r="D30" s="27">
        <v>2022</v>
      </c>
      <c r="E30" s="27">
        <v>244</v>
      </c>
      <c r="F30" s="27" t="s">
        <v>203</v>
      </c>
      <c r="G30" s="124">
        <f t="shared" si="7"/>
        <v>318660</v>
      </c>
      <c r="H30" s="124"/>
      <c r="I30" s="124"/>
      <c r="J30" s="124">
        <f>18660+300000</f>
        <v>318660</v>
      </c>
      <c r="K30" s="124"/>
      <c r="L30" s="124"/>
      <c r="M30" s="124"/>
      <c r="N30" s="124"/>
      <c r="O30" s="124"/>
    </row>
    <row r="31" spans="1:15" s="12" customFormat="1" ht="39.75" customHeight="1">
      <c r="A31" s="123" t="s">
        <v>460</v>
      </c>
      <c r="B31" s="127" t="s">
        <v>572</v>
      </c>
      <c r="C31" s="27">
        <f t="shared" si="6"/>
        <v>262214</v>
      </c>
      <c r="D31" s="27">
        <v>2022</v>
      </c>
      <c r="E31" s="27">
        <v>244</v>
      </c>
      <c r="F31" s="27" t="s">
        <v>203</v>
      </c>
      <c r="G31" s="124">
        <f t="shared" si="7"/>
        <v>41000</v>
      </c>
      <c r="H31" s="124"/>
      <c r="I31" s="124"/>
      <c r="J31" s="124">
        <f>38000+3000</f>
        <v>41000</v>
      </c>
      <c r="K31" s="124"/>
      <c r="L31" s="124"/>
      <c r="M31" s="124"/>
      <c r="N31" s="124"/>
      <c r="O31" s="124"/>
    </row>
    <row r="32" spans="1:15" s="12" customFormat="1" ht="45.75" customHeight="1">
      <c r="A32" s="123" t="s">
        <v>462</v>
      </c>
      <c r="B32" s="127" t="s">
        <v>455</v>
      </c>
      <c r="C32" s="27">
        <f t="shared" si="6"/>
        <v>262215</v>
      </c>
      <c r="D32" s="27">
        <v>2022</v>
      </c>
      <c r="E32" s="27">
        <v>244</v>
      </c>
      <c r="F32" s="27" t="s">
        <v>203</v>
      </c>
      <c r="G32" s="124">
        <f t="shared" si="7"/>
        <v>10000</v>
      </c>
      <c r="H32" s="124"/>
      <c r="I32" s="124"/>
      <c r="J32" s="124">
        <f>'Иные цели'!AA30</f>
        <v>10000</v>
      </c>
      <c r="K32" s="124"/>
      <c r="L32" s="124"/>
      <c r="M32" s="124"/>
      <c r="N32" s="124"/>
      <c r="O32" s="124"/>
    </row>
    <row r="33" spans="1:15" ht="39" customHeight="1" hidden="1">
      <c r="A33" s="123" t="s">
        <v>466</v>
      </c>
      <c r="B33" s="126" t="s">
        <v>465</v>
      </c>
      <c r="C33" s="27">
        <f t="shared" si="6"/>
        <v>262216</v>
      </c>
      <c r="D33" s="27">
        <v>2022</v>
      </c>
      <c r="E33" s="27">
        <v>244</v>
      </c>
      <c r="F33" s="27" t="s">
        <v>203</v>
      </c>
      <c r="G33" s="124">
        <f t="shared" si="7"/>
        <v>0</v>
      </c>
      <c r="H33" s="124"/>
      <c r="I33" s="124"/>
      <c r="J33" s="124">
        <f>'Иные цели'!AB30</f>
        <v>0</v>
      </c>
      <c r="K33" s="124"/>
      <c r="L33" s="124"/>
      <c r="M33" s="124"/>
      <c r="N33" s="124"/>
      <c r="O33" s="124"/>
    </row>
    <row r="34" spans="1:15" ht="54" customHeight="1">
      <c r="A34" s="123" t="s">
        <v>258</v>
      </c>
      <c r="B34" s="109" t="s">
        <v>259</v>
      </c>
      <c r="C34" s="27">
        <v>262400</v>
      </c>
      <c r="D34" s="27" t="s">
        <v>203</v>
      </c>
      <c r="E34" s="27" t="s">
        <v>203</v>
      </c>
      <c r="F34" s="27" t="s">
        <v>203</v>
      </c>
      <c r="G34" s="124">
        <f t="shared" si="7"/>
        <v>2824095.17</v>
      </c>
      <c r="H34" s="124">
        <f>K34+N34</f>
        <v>3281300</v>
      </c>
      <c r="I34" s="124">
        <f>L34+O34</f>
        <v>3281300</v>
      </c>
      <c r="J34" s="124">
        <f aca="true" t="shared" si="8" ref="J34:O34">SUM(J36:J41)</f>
        <v>1100000</v>
      </c>
      <c r="K34" s="124">
        <f t="shared" si="8"/>
        <v>0</v>
      </c>
      <c r="L34" s="124">
        <f t="shared" si="8"/>
        <v>0</v>
      </c>
      <c r="M34" s="124">
        <f t="shared" si="8"/>
        <v>1724095.17</v>
      </c>
      <c r="N34" s="124">
        <f t="shared" si="8"/>
        <v>3281300</v>
      </c>
      <c r="O34" s="124">
        <f t="shared" si="8"/>
        <v>3281300</v>
      </c>
    </row>
    <row r="35" spans="1:15" ht="27" customHeight="1">
      <c r="A35" s="123" t="s">
        <v>260</v>
      </c>
      <c r="B35" s="107" t="s">
        <v>338</v>
      </c>
      <c r="C35" s="27"/>
      <c r="D35" s="27"/>
      <c r="E35" s="27"/>
      <c r="F35" s="27"/>
      <c r="G35" s="124"/>
      <c r="H35" s="124"/>
      <c r="I35" s="124"/>
      <c r="J35" s="124"/>
      <c r="K35" s="124"/>
      <c r="L35" s="124"/>
      <c r="M35" s="124"/>
      <c r="N35" s="124"/>
      <c r="O35" s="124"/>
    </row>
    <row r="36" spans="1:15" ht="39" customHeight="1">
      <c r="A36" s="123"/>
      <c r="B36" s="50" t="s">
        <v>300</v>
      </c>
      <c r="C36" s="27"/>
      <c r="D36" s="27">
        <v>2022</v>
      </c>
      <c r="E36" s="27">
        <v>244</v>
      </c>
      <c r="F36" s="27" t="s">
        <v>203</v>
      </c>
      <c r="G36" s="124">
        <f aca="true" t="shared" si="9" ref="G36:H41">J36+M36</f>
        <v>2600333.07</v>
      </c>
      <c r="H36" s="124">
        <f t="shared" si="9"/>
        <v>0</v>
      </c>
      <c r="I36" s="124">
        <f aca="true" t="shared" si="10" ref="I36:I41">L36+O36</f>
        <v>0</v>
      </c>
      <c r="J36" s="124">
        <v>1100000</v>
      </c>
      <c r="K36" s="124"/>
      <c r="L36" s="124"/>
      <c r="M36" s="124">
        <f>'Раздел 1'!AJ65-764131.73-1100000</f>
        <v>1500333.0699999998</v>
      </c>
      <c r="N36" s="124"/>
      <c r="O36" s="124"/>
    </row>
    <row r="37" spans="1:15" ht="34.5" customHeight="1">
      <c r="A37" s="123"/>
      <c r="B37" s="50" t="s">
        <v>301</v>
      </c>
      <c r="C37" s="27"/>
      <c r="D37" s="27">
        <v>2022</v>
      </c>
      <c r="E37" s="27">
        <v>247</v>
      </c>
      <c r="F37" s="27" t="s">
        <v>203</v>
      </c>
      <c r="G37" s="124">
        <f t="shared" si="9"/>
        <v>223762.1</v>
      </c>
      <c r="H37" s="124">
        <f t="shared" si="9"/>
        <v>0</v>
      </c>
      <c r="I37" s="124">
        <f t="shared" si="10"/>
        <v>0</v>
      </c>
      <c r="J37" s="124"/>
      <c r="K37" s="124"/>
      <c r="L37" s="124"/>
      <c r="M37" s="124">
        <f>'Раздел 1'!AJ84</f>
        <v>223762.1</v>
      </c>
      <c r="N37" s="124"/>
      <c r="O37" s="124"/>
    </row>
    <row r="38" spans="1:15" ht="39" customHeight="1">
      <c r="A38" s="123"/>
      <c r="B38" s="50" t="s">
        <v>300</v>
      </c>
      <c r="C38" s="27"/>
      <c r="D38" s="27">
        <v>2023</v>
      </c>
      <c r="E38" s="27">
        <v>244</v>
      </c>
      <c r="F38" s="27" t="s">
        <v>203</v>
      </c>
      <c r="G38" s="124">
        <f t="shared" si="9"/>
        <v>0</v>
      </c>
      <c r="H38" s="124">
        <f t="shared" si="9"/>
        <v>3057500</v>
      </c>
      <c r="I38" s="124">
        <f t="shared" si="10"/>
        <v>0</v>
      </c>
      <c r="J38" s="124"/>
      <c r="K38" s="124"/>
      <c r="L38" s="124"/>
      <c r="M38" s="124"/>
      <c r="N38" s="124">
        <f>'Раздел 1'!AK65</f>
        <v>3057500</v>
      </c>
      <c r="O38" s="124"/>
    </row>
    <row r="39" spans="1:15" ht="34.5" customHeight="1">
      <c r="A39" s="123"/>
      <c r="B39" s="50" t="s">
        <v>301</v>
      </c>
      <c r="C39" s="27"/>
      <c r="D39" s="27">
        <v>2023</v>
      </c>
      <c r="E39" s="27">
        <v>247</v>
      </c>
      <c r="F39" s="27" t="s">
        <v>203</v>
      </c>
      <c r="G39" s="124">
        <f t="shared" si="9"/>
        <v>0</v>
      </c>
      <c r="H39" s="124">
        <f t="shared" si="9"/>
        <v>223800</v>
      </c>
      <c r="I39" s="124">
        <f t="shared" si="10"/>
        <v>0</v>
      </c>
      <c r="J39" s="124"/>
      <c r="K39" s="124"/>
      <c r="L39" s="124"/>
      <c r="M39" s="124"/>
      <c r="N39" s="124">
        <f>'Раздел 1'!AK84</f>
        <v>223800</v>
      </c>
      <c r="O39" s="124"/>
    </row>
    <row r="40" spans="1:15" ht="39" customHeight="1">
      <c r="A40" s="123"/>
      <c r="B40" s="50" t="s">
        <v>300</v>
      </c>
      <c r="C40" s="27"/>
      <c r="D40" s="27">
        <v>2024</v>
      </c>
      <c r="E40" s="27">
        <v>244</v>
      </c>
      <c r="F40" s="27" t="s">
        <v>203</v>
      </c>
      <c r="G40" s="124">
        <f t="shared" si="9"/>
        <v>0</v>
      </c>
      <c r="H40" s="124">
        <f t="shared" si="9"/>
        <v>0</v>
      </c>
      <c r="I40" s="124">
        <f t="shared" si="10"/>
        <v>3057500</v>
      </c>
      <c r="J40" s="124"/>
      <c r="K40" s="124"/>
      <c r="L40" s="124"/>
      <c r="M40" s="124"/>
      <c r="N40" s="124"/>
      <c r="O40" s="124">
        <f>'Раздел 1'!AL65</f>
        <v>3057500</v>
      </c>
    </row>
    <row r="41" spans="1:15" ht="34.5" customHeight="1">
      <c r="A41" s="123"/>
      <c r="B41" s="50" t="s">
        <v>301</v>
      </c>
      <c r="C41" s="27"/>
      <c r="D41" s="27">
        <v>2024</v>
      </c>
      <c r="E41" s="27">
        <v>247</v>
      </c>
      <c r="F41" s="27" t="s">
        <v>203</v>
      </c>
      <c r="G41" s="124">
        <f t="shared" si="9"/>
        <v>0</v>
      </c>
      <c r="H41" s="124">
        <f t="shared" si="9"/>
        <v>0</v>
      </c>
      <c r="I41" s="124">
        <f t="shared" si="10"/>
        <v>223800</v>
      </c>
      <c r="J41" s="124"/>
      <c r="K41" s="124"/>
      <c r="L41" s="124"/>
      <c r="M41" s="124"/>
      <c r="N41" s="124"/>
      <c r="O41" s="124">
        <f>'Раздел 1'!AL84</f>
        <v>223800</v>
      </c>
    </row>
    <row r="42" spans="1:16" ht="61.5" customHeight="1">
      <c r="A42" s="123" t="s">
        <v>262</v>
      </c>
      <c r="B42" s="110" t="s">
        <v>339</v>
      </c>
      <c r="C42" s="111">
        <v>263000</v>
      </c>
      <c r="D42" s="27" t="s">
        <v>203</v>
      </c>
      <c r="E42" s="27" t="s">
        <v>203</v>
      </c>
      <c r="F42" s="27" t="s">
        <v>203</v>
      </c>
      <c r="G42" s="128">
        <f aca="true" t="shared" si="11" ref="G42:O42">G44+G45+G46</f>
        <v>12091113.15</v>
      </c>
      <c r="H42" s="128">
        <f t="shared" si="11"/>
        <v>8284700</v>
      </c>
      <c r="I42" s="128">
        <f t="shared" si="11"/>
        <v>8284700</v>
      </c>
      <c r="J42" s="128">
        <f t="shared" si="11"/>
        <v>9602886.25</v>
      </c>
      <c r="K42" s="128">
        <f t="shared" si="11"/>
        <v>5003400</v>
      </c>
      <c r="L42" s="128">
        <f t="shared" si="11"/>
        <v>5003400</v>
      </c>
      <c r="M42" s="128">
        <f t="shared" si="11"/>
        <v>2488226.9</v>
      </c>
      <c r="N42" s="128">
        <f t="shared" si="11"/>
        <v>3281300</v>
      </c>
      <c r="O42" s="128">
        <f t="shared" si="11"/>
        <v>3281300</v>
      </c>
      <c r="P42" s="129"/>
    </row>
    <row r="43" spans="1:15" ht="27" customHeight="1">
      <c r="A43" s="123"/>
      <c r="B43" s="107" t="s">
        <v>340</v>
      </c>
      <c r="C43" s="27"/>
      <c r="D43" s="27"/>
      <c r="E43" s="27"/>
      <c r="F43" s="27"/>
      <c r="G43" s="124"/>
      <c r="H43" s="124"/>
      <c r="I43" s="124"/>
      <c r="J43" s="128"/>
      <c r="K43" s="124"/>
      <c r="L43" s="124"/>
      <c r="M43" s="124"/>
      <c r="N43" s="124"/>
      <c r="O43" s="124"/>
    </row>
    <row r="44" spans="1:16" ht="30" customHeight="1">
      <c r="A44" s="123"/>
      <c r="B44" s="107" t="s">
        <v>302</v>
      </c>
      <c r="C44" s="130">
        <v>263100</v>
      </c>
      <c r="D44" s="130">
        <v>2023</v>
      </c>
      <c r="E44" s="130">
        <v>240</v>
      </c>
      <c r="F44" s="27" t="s">
        <v>203</v>
      </c>
      <c r="G44" s="128">
        <f>J44+M44</f>
        <v>12091113.15</v>
      </c>
      <c r="H44" s="128">
        <f>K44+N44</f>
        <v>0</v>
      </c>
      <c r="I44" s="128"/>
      <c r="J44" s="128">
        <f>J11</f>
        <v>9602886.25</v>
      </c>
      <c r="K44" s="128">
        <f>K12</f>
        <v>0</v>
      </c>
      <c r="L44" s="128"/>
      <c r="M44" s="128">
        <f>M11</f>
        <v>2488226.9</v>
      </c>
      <c r="N44" s="128">
        <f>N12</f>
        <v>0</v>
      </c>
      <c r="O44" s="128"/>
      <c r="P44" s="129"/>
    </row>
    <row r="45" spans="1:16" ht="30" customHeight="1">
      <c r="A45" s="123"/>
      <c r="B45" s="107" t="s">
        <v>302</v>
      </c>
      <c r="C45" s="130">
        <v>263200</v>
      </c>
      <c r="D45" s="130">
        <v>2024</v>
      </c>
      <c r="E45" s="130">
        <v>240</v>
      </c>
      <c r="F45" s="27" t="s">
        <v>203</v>
      </c>
      <c r="G45" s="128"/>
      <c r="H45" s="128">
        <f>K45+N45</f>
        <v>8284700</v>
      </c>
      <c r="I45" s="128"/>
      <c r="J45" s="128"/>
      <c r="K45" s="128">
        <f>K11</f>
        <v>5003400</v>
      </c>
      <c r="L45" s="128"/>
      <c r="M45" s="128"/>
      <c r="N45" s="128">
        <f>N11</f>
        <v>3281300</v>
      </c>
      <c r="O45" s="128"/>
      <c r="P45" s="129"/>
    </row>
    <row r="46" spans="1:16" ht="30" customHeight="1">
      <c r="A46" s="123"/>
      <c r="B46" s="107" t="s">
        <v>302</v>
      </c>
      <c r="C46" s="130">
        <v>263300</v>
      </c>
      <c r="D46" s="130">
        <v>2025</v>
      </c>
      <c r="E46" s="130">
        <v>240</v>
      </c>
      <c r="F46" s="27" t="s">
        <v>203</v>
      </c>
      <c r="G46" s="128"/>
      <c r="H46" s="128"/>
      <c r="I46" s="128">
        <f>L46+O46</f>
        <v>8284700</v>
      </c>
      <c r="J46" s="128"/>
      <c r="K46" s="128"/>
      <c r="L46" s="128">
        <f>L11</f>
        <v>5003400</v>
      </c>
      <c r="M46" s="128"/>
      <c r="N46" s="128"/>
      <c r="O46" s="128">
        <f>O11</f>
        <v>3281300</v>
      </c>
      <c r="P46" s="129"/>
    </row>
    <row r="47" spans="1:16" ht="30" customHeight="1" hidden="1">
      <c r="A47" s="123"/>
      <c r="B47" s="107"/>
      <c r="C47" s="27"/>
      <c r="D47" s="131"/>
      <c r="E47" s="131"/>
      <c r="F47" s="131"/>
      <c r="G47" s="124"/>
      <c r="H47" s="124"/>
      <c r="I47" s="124"/>
      <c r="J47" s="124"/>
      <c r="K47" s="124"/>
      <c r="L47" s="124"/>
      <c r="M47" s="124"/>
      <c r="N47" s="124"/>
      <c r="O47" s="124"/>
      <c r="P47" s="129"/>
    </row>
    <row r="48" spans="1:16" ht="12.75" customHeight="1">
      <c r="A48" s="132"/>
      <c r="B48" s="133"/>
      <c r="C48" s="134"/>
      <c r="D48" s="135"/>
      <c r="E48" s="135"/>
      <c r="F48" s="135"/>
      <c r="G48" s="136"/>
      <c r="H48" s="136"/>
      <c r="I48" s="136"/>
      <c r="J48" s="136"/>
      <c r="K48" s="136"/>
      <c r="L48" s="136"/>
      <c r="M48" s="136"/>
      <c r="N48" s="136"/>
      <c r="O48" s="136"/>
      <c r="P48" s="129"/>
    </row>
    <row r="49" spans="2:10" ht="18.75">
      <c r="B49" s="137" t="s">
        <v>267</v>
      </c>
      <c r="G49" s="85" t="s">
        <v>25</v>
      </c>
      <c r="I49" s="308" t="str">
        <f>'Раздел 1'!F93</f>
        <v>А.М. Шхалахова</v>
      </c>
      <c r="J49" s="308"/>
    </row>
    <row r="50" spans="2:9" ht="18.75">
      <c r="B50" s="137" t="s">
        <v>268</v>
      </c>
      <c r="G50" s="138" t="s">
        <v>42</v>
      </c>
      <c r="I50" s="85" t="s">
        <v>43</v>
      </c>
    </row>
    <row r="51" ht="10.5" customHeight="1"/>
    <row r="52" ht="10.5" customHeight="1"/>
    <row r="53" spans="2:10" ht="18.75">
      <c r="B53" s="326" t="s">
        <v>44</v>
      </c>
      <c r="C53" s="326"/>
      <c r="D53" s="326"/>
      <c r="E53" s="139"/>
      <c r="F53" s="139"/>
      <c r="G53" s="85" t="s">
        <v>25</v>
      </c>
      <c r="I53" s="324" t="str">
        <f>'Заголовочная часть'!F8</f>
        <v>Е.В.Лопина</v>
      </c>
      <c r="J53" s="324"/>
    </row>
    <row r="54" spans="2:10" ht="16.5" customHeight="1">
      <c r="B54" s="326"/>
      <c r="C54" s="326"/>
      <c r="D54" s="326"/>
      <c r="E54" s="139"/>
      <c r="F54" s="139"/>
      <c r="G54" s="85" t="s">
        <v>42</v>
      </c>
      <c r="I54" s="140" t="s">
        <v>43</v>
      </c>
      <c r="J54" s="140"/>
    </row>
    <row r="55" ht="18.75">
      <c r="B55" s="13" t="s">
        <v>299</v>
      </c>
    </row>
    <row r="56" ht="8.25" customHeight="1"/>
    <row r="57" spans="2:15" ht="21.75" customHeight="1">
      <c r="B57" s="330" t="str">
        <f>'Раздел 1'!A95</f>
        <v>Исполнитель  Доброва Ю.В.</v>
      </c>
      <c r="C57" s="330"/>
      <c r="D57" s="330"/>
      <c r="G57" s="141">
        <f aca="true" t="shared" si="12" ref="G57:O57">G42-G11</f>
        <v>0</v>
      </c>
      <c r="H57" s="141">
        <f t="shared" si="12"/>
        <v>0</v>
      </c>
      <c r="I57" s="141">
        <f t="shared" si="12"/>
        <v>0</v>
      </c>
      <c r="J57" s="141">
        <f t="shared" si="12"/>
        <v>0</v>
      </c>
      <c r="K57" s="141">
        <f t="shared" si="12"/>
        <v>0</v>
      </c>
      <c r="L57" s="141">
        <f t="shared" si="12"/>
        <v>0</v>
      </c>
      <c r="M57" s="141">
        <f t="shared" si="12"/>
        <v>0</v>
      </c>
      <c r="N57" s="141">
        <f t="shared" si="12"/>
        <v>0</v>
      </c>
      <c r="O57" s="141">
        <f t="shared" si="12"/>
        <v>0</v>
      </c>
    </row>
    <row r="58" spans="2:4" ht="21" customHeight="1">
      <c r="B58" s="330" t="s">
        <v>268</v>
      </c>
      <c r="C58" s="330"/>
      <c r="D58" s="13"/>
    </row>
    <row r="59" ht="6.75" customHeight="1"/>
    <row r="60" ht="3.75" customHeight="1"/>
    <row r="61" ht="18.75">
      <c r="B61" s="85" t="str">
        <f>'Заголовочная часть'!B16</f>
        <v>от "06"  сентября    2023 г.</v>
      </c>
    </row>
    <row r="62" spans="1:15" ht="93.75" customHeight="1" hidden="1">
      <c r="A62" s="325" t="s">
        <v>341</v>
      </c>
      <c r="B62" s="325"/>
      <c r="C62" s="325"/>
      <c r="D62" s="325"/>
      <c r="E62" s="325"/>
      <c r="F62" s="325"/>
      <c r="G62" s="325"/>
      <c r="H62" s="325"/>
      <c r="I62" s="325"/>
      <c r="J62" s="325"/>
      <c r="K62" s="325"/>
      <c r="L62" s="325"/>
      <c r="M62" s="325"/>
      <c r="N62" s="325"/>
      <c r="O62" s="325"/>
    </row>
    <row r="63" spans="1:15" ht="68.25" customHeight="1" hidden="1">
      <c r="A63" s="325" t="s">
        <v>342</v>
      </c>
      <c r="B63" s="325"/>
      <c r="C63" s="325"/>
      <c r="D63" s="325"/>
      <c r="E63" s="325"/>
      <c r="F63" s="325"/>
      <c r="G63" s="325"/>
      <c r="H63" s="325"/>
      <c r="I63" s="325"/>
      <c r="J63" s="325"/>
      <c r="K63" s="325"/>
      <c r="L63" s="325"/>
      <c r="M63" s="325"/>
      <c r="N63" s="325"/>
      <c r="O63" s="325"/>
    </row>
    <row r="64" spans="1:15" ht="14.25" customHeight="1" hidden="1">
      <c r="A64" s="325" t="s">
        <v>343</v>
      </c>
      <c r="B64" s="325"/>
      <c r="C64" s="325"/>
      <c r="D64" s="325"/>
      <c r="E64" s="325"/>
      <c r="F64" s="325"/>
      <c r="G64" s="325"/>
      <c r="H64" s="325"/>
      <c r="I64" s="325"/>
      <c r="J64" s="325"/>
      <c r="K64" s="325"/>
      <c r="L64" s="325"/>
      <c r="M64" s="325"/>
      <c r="N64" s="325"/>
      <c r="O64" s="325"/>
    </row>
    <row r="65" spans="1:15" ht="18.75" hidden="1">
      <c r="A65" s="325" t="s">
        <v>344</v>
      </c>
      <c r="B65" s="325"/>
      <c r="C65" s="325"/>
      <c r="D65" s="325"/>
      <c r="E65" s="325"/>
      <c r="F65" s="325"/>
      <c r="G65" s="325"/>
      <c r="H65" s="325"/>
      <c r="I65" s="325"/>
      <c r="J65" s="325"/>
      <c r="K65" s="325"/>
      <c r="L65" s="325"/>
      <c r="M65" s="325"/>
      <c r="N65" s="325"/>
      <c r="O65" s="325"/>
    </row>
    <row r="66" spans="1:15" ht="18.75" hidden="1">
      <c r="A66" s="325" t="s">
        <v>345</v>
      </c>
      <c r="B66" s="325"/>
      <c r="C66" s="325"/>
      <c r="D66" s="325"/>
      <c r="E66" s="325"/>
      <c r="F66" s="325"/>
      <c r="G66" s="325"/>
      <c r="H66" s="325"/>
      <c r="I66" s="325"/>
      <c r="J66" s="325"/>
      <c r="K66" s="325"/>
      <c r="L66" s="325"/>
      <c r="M66" s="325"/>
      <c r="N66" s="325"/>
      <c r="O66" s="325"/>
    </row>
  </sheetData>
  <sheetProtection/>
  <mergeCells count="22">
    <mergeCell ref="A6:A9"/>
    <mergeCell ref="B57:D57"/>
    <mergeCell ref="B58:C58"/>
    <mergeCell ref="F6:F9"/>
    <mergeCell ref="B6:B9"/>
    <mergeCell ref="C6:C9"/>
    <mergeCell ref="D6:D9"/>
    <mergeCell ref="I49:J49"/>
    <mergeCell ref="I53:J53"/>
    <mergeCell ref="A63:O63"/>
    <mergeCell ref="A64:O64"/>
    <mergeCell ref="A65:O65"/>
    <mergeCell ref="A66:O66"/>
    <mergeCell ref="A62:O62"/>
    <mergeCell ref="B53:D54"/>
    <mergeCell ref="B3:N3"/>
    <mergeCell ref="E6:E9"/>
    <mergeCell ref="G6:O6"/>
    <mergeCell ref="G7:I8"/>
    <mergeCell ref="J7:O7"/>
    <mergeCell ref="J8:L8"/>
    <mergeCell ref="M8:O8"/>
  </mergeCells>
  <printOptions/>
  <pageMargins left="0.5118110236220472" right="0.11811023622047245" top="0.35433070866141736" bottom="0.35433070866141736" header="0.31496062992125984" footer="0.31496062992125984"/>
  <pageSetup fitToHeight="1" fitToWidth="1" horizontalDpi="600" verticalDpi="600" orientation="portrait" paperSize="9" scale="32" r:id="rId1"/>
  <rowBreaks count="1" manualBreakCount="1">
    <brk id="64" max="12" man="1"/>
  </rowBreaks>
</worksheet>
</file>

<file path=xl/worksheets/sheet4.xml><?xml version="1.0" encoding="utf-8"?>
<worksheet xmlns="http://schemas.openxmlformats.org/spreadsheetml/2006/main" xmlns:r="http://schemas.openxmlformats.org/officeDocument/2006/relationships">
  <sheetPr>
    <tabColor rgb="FFFFC000"/>
    <pageSetUpPr fitToPage="1"/>
  </sheetPr>
  <dimension ref="A1:O24"/>
  <sheetViews>
    <sheetView view="pageBreakPreview" zoomScale="60" zoomScaleNormal="70" zoomScalePageLayoutView="0" workbookViewId="0" topLeftCell="A1">
      <selection activeCell="B16" sqref="B16"/>
    </sheetView>
  </sheetViews>
  <sheetFormatPr defaultColWidth="9.140625" defaultRowHeight="15"/>
  <cols>
    <col min="1" max="1" width="7.421875" style="1" customWidth="1"/>
    <col min="2" max="2" width="69.00390625" style="1" customWidth="1"/>
    <col min="3" max="3" width="20.00390625" style="1" customWidth="1"/>
    <col min="4" max="4" width="19.28125" style="1" customWidth="1"/>
    <col min="5" max="5" width="23.57421875" style="1" customWidth="1"/>
    <col min="6" max="16384" width="9.140625" style="1" customWidth="1"/>
  </cols>
  <sheetData>
    <row r="1" ht="18.75">
      <c r="E1" s="2" t="s">
        <v>39</v>
      </c>
    </row>
    <row r="4" spans="1:5" ht="18.75">
      <c r="A4" s="331" t="s">
        <v>35</v>
      </c>
      <c r="B4" s="332"/>
      <c r="C4" s="332"/>
      <c r="D4" s="332"/>
      <c r="E4" s="332"/>
    </row>
    <row r="5" spans="1:5" ht="69" customHeight="1">
      <c r="A5" s="333"/>
      <c r="B5" s="333"/>
      <c r="C5" s="333"/>
      <c r="D5" s="333"/>
      <c r="E5" s="333"/>
    </row>
    <row r="6" spans="1:5" ht="27.75" customHeight="1">
      <c r="A6" s="335" t="s">
        <v>41</v>
      </c>
      <c r="B6" s="335"/>
      <c r="C6" s="335"/>
      <c r="D6" s="335"/>
      <c r="E6" s="335"/>
    </row>
    <row r="7" spans="1:6" ht="27.75" customHeight="1">
      <c r="A7" s="337" t="s">
        <v>54</v>
      </c>
      <c r="B7" s="337"/>
      <c r="C7" s="337"/>
      <c r="D7" s="337"/>
      <c r="E7" s="337"/>
      <c r="F7" s="18"/>
    </row>
    <row r="8" spans="1:5" ht="27" customHeight="1">
      <c r="A8" s="11"/>
      <c r="B8" s="336" t="s">
        <v>57</v>
      </c>
      <c r="C8" s="336"/>
      <c r="D8" s="336"/>
      <c r="E8" s="336"/>
    </row>
    <row r="9" spans="1:5" ht="18" customHeight="1">
      <c r="A9" s="334" t="s">
        <v>40</v>
      </c>
      <c r="B9" s="334"/>
      <c r="C9" s="334"/>
      <c r="D9" s="334"/>
      <c r="E9" s="334"/>
    </row>
    <row r="10" ht="18.75">
      <c r="A10" s="8"/>
    </row>
    <row r="11" spans="1:5" ht="56.25">
      <c r="A11" s="21" t="s">
        <v>31</v>
      </c>
      <c r="B11" s="20" t="s">
        <v>30</v>
      </c>
      <c r="C11" s="10" t="s">
        <v>34</v>
      </c>
      <c r="D11" s="10" t="s">
        <v>33</v>
      </c>
      <c r="E11" s="20" t="s">
        <v>13</v>
      </c>
    </row>
    <row r="12" spans="1:5" s="19" customFormat="1" ht="18.75">
      <c r="A12" s="9">
        <v>1</v>
      </c>
      <c r="B12" s="9">
        <v>2</v>
      </c>
      <c r="C12" s="9">
        <v>3</v>
      </c>
      <c r="D12" s="9">
        <v>4</v>
      </c>
      <c r="E12" s="9" t="s">
        <v>38</v>
      </c>
    </row>
    <row r="13" spans="1:5" ht="39" customHeight="1">
      <c r="A13" s="6">
        <v>1</v>
      </c>
      <c r="B13" s="7" t="s">
        <v>32</v>
      </c>
      <c r="C13" s="14"/>
      <c r="D13" s="16"/>
      <c r="E13" s="16"/>
    </row>
    <row r="14" spans="1:5" ht="45" customHeight="1">
      <c r="A14" s="6">
        <v>2</v>
      </c>
      <c r="B14" s="7" t="s">
        <v>51</v>
      </c>
      <c r="C14" s="14"/>
      <c r="D14" s="16"/>
      <c r="E14" s="16"/>
    </row>
    <row r="15" spans="1:5" ht="56.25">
      <c r="A15" s="6">
        <v>3</v>
      </c>
      <c r="B15" s="7" t="s">
        <v>52</v>
      </c>
      <c r="C15" s="14"/>
      <c r="D15" s="16"/>
      <c r="E15" s="16">
        <f>C15*D15</f>
        <v>0</v>
      </c>
    </row>
    <row r="16" spans="1:5" ht="75">
      <c r="A16" s="6">
        <v>4</v>
      </c>
      <c r="B16" s="7" t="s">
        <v>53</v>
      </c>
      <c r="C16" s="14"/>
      <c r="D16" s="16"/>
      <c r="E16" s="16">
        <f>C16*D16</f>
        <v>0</v>
      </c>
    </row>
    <row r="17" spans="1:5" s="3" customFormat="1" ht="27" customHeight="1">
      <c r="A17" s="4"/>
      <c r="B17" s="5" t="s">
        <v>29</v>
      </c>
      <c r="C17" s="17" t="s">
        <v>28</v>
      </c>
      <c r="D17" s="17" t="s">
        <v>28</v>
      </c>
      <c r="E17" s="15">
        <f>SUM(E13:E16)</f>
        <v>0</v>
      </c>
    </row>
    <row r="19" spans="2:15" ht="18.75">
      <c r="B19" s="1" t="s">
        <v>36</v>
      </c>
      <c r="C19" s="1" t="s">
        <v>46</v>
      </c>
      <c r="K19" s="13"/>
      <c r="L19" s="13"/>
      <c r="M19" s="13"/>
      <c r="N19" s="13"/>
      <c r="O19" s="13"/>
    </row>
    <row r="20" spans="2:15" ht="18.75">
      <c r="B20" s="1" t="s">
        <v>24</v>
      </c>
      <c r="C20" s="1" t="s">
        <v>11</v>
      </c>
      <c r="D20" s="1" t="s">
        <v>23</v>
      </c>
      <c r="K20" s="13"/>
      <c r="L20" s="13"/>
      <c r="M20" s="13"/>
      <c r="N20" s="13"/>
      <c r="O20" s="13"/>
    </row>
    <row r="21" spans="11:15" ht="18.75">
      <c r="K21" s="13"/>
      <c r="L21" s="13"/>
      <c r="M21" s="13"/>
      <c r="N21" s="13"/>
      <c r="O21" s="13"/>
    </row>
    <row r="22" spans="2:15" ht="18.75">
      <c r="B22" s="1" t="s">
        <v>37</v>
      </c>
      <c r="C22" s="1" t="s">
        <v>46</v>
      </c>
      <c r="K22" s="13"/>
      <c r="L22" s="13"/>
      <c r="M22" s="13"/>
      <c r="N22" s="13"/>
      <c r="O22" s="13"/>
    </row>
    <row r="23" spans="2:15" ht="18.75">
      <c r="B23" s="1" t="s">
        <v>24</v>
      </c>
      <c r="C23" s="1" t="s">
        <v>11</v>
      </c>
      <c r="D23" s="1" t="s">
        <v>23</v>
      </c>
      <c r="K23" s="13"/>
      <c r="L23" s="13"/>
      <c r="M23" s="13"/>
      <c r="N23" s="13"/>
      <c r="O23" s="13"/>
    </row>
    <row r="24" spans="11:15" ht="18.75">
      <c r="K24" s="13"/>
      <c r="L24" s="13"/>
      <c r="M24" s="13"/>
      <c r="N24" s="13"/>
      <c r="O24" s="13"/>
    </row>
  </sheetData>
  <sheetProtection/>
  <mergeCells count="6">
    <mergeCell ref="A4:E4"/>
    <mergeCell ref="A5:E5"/>
    <mergeCell ref="A9:E9"/>
    <mergeCell ref="A6:E6"/>
    <mergeCell ref="B8:E8"/>
    <mergeCell ref="A7:E7"/>
  </mergeCells>
  <printOptions/>
  <pageMargins left="0.7086614173228347" right="0.32" top="0.7480314960629921" bottom="0.7480314960629921" header="0.31496062992125984" footer="0.31496062992125984"/>
  <pageSetup fitToHeight="1" fitToWidth="1" horizontalDpi="600" verticalDpi="600" orientation="landscape" paperSize="9" scale="72" r:id="rId1"/>
</worksheet>
</file>

<file path=xl/worksheets/sheet5.xml><?xml version="1.0" encoding="utf-8"?>
<worksheet xmlns="http://schemas.openxmlformats.org/spreadsheetml/2006/main" xmlns:r="http://schemas.openxmlformats.org/officeDocument/2006/relationships">
  <sheetPr>
    <tabColor rgb="FFFFC000"/>
    <pageSetUpPr fitToPage="1"/>
  </sheetPr>
  <dimension ref="A1:O24"/>
  <sheetViews>
    <sheetView view="pageBreakPreview" zoomScale="60" zoomScaleNormal="70" zoomScalePageLayoutView="0" workbookViewId="0" topLeftCell="A1">
      <selection activeCell="B16" sqref="B16"/>
    </sheetView>
  </sheetViews>
  <sheetFormatPr defaultColWidth="9.140625" defaultRowHeight="15"/>
  <cols>
    <col min="1" max="1" width="7.421875" style="1" customWidth="1"/>
    <col min="2" max="2" width="69.00390625" style="1" customWidth="1"/>
    <col min="3" max="3" width="20.00390625" style="1" customWidth="1"/>
    <col min="4" max="4" width="19.28125" style="1" customWidth="1"/>
    <col min="5" max="5" width="23.57421875" style="1" customWidth="1"/>
    <col min="6" max="16384" width="9.140625" style="1" customWidth="1"/>
  </cols>
  <sheetData>
    <row r="1" ht="18.75">
      <c r="E1" s="2" t="s">
        <v>39</v>
      </c>
    </row>
    <row r="4" spans="1:5" ht="18.75">
      <c r="A4" s="331" t="s">
        <v>35</v>
      </c>
      <c r="B4" s="332"/>
      <c r="C4" s="332"/>
      <c r="D4" s="332"/>
      <c r="E4" s="332"/>
    </row>
    <row r="5" spans="1:5" ht="69" customHeight="1">
      <c r="A5" s="333"/>
      <c r="B5" s="333"/>
      <c r="C5" s="333"/>
      <c r="D5" s="333"/>
      <c r="E5" s="333"/>
    </row>
    <row r="6" spans="1:5" ht="27.75" customHeight="1">
      <c r="A6" s="335" t="s">
        <v>41</v>
      </c>
      <c r="B6" s="335"/>
      <c r="C6" s="335"/>
      <c r="D6" s="335"/>
      <c r="E6" s="335"/>
    </row>
    <row r="7" spans="1:6" ht="27.75" customHeight="1">
      <c r="A7" s="337" t="s">
        <v>55</v>
      </c>
      <c r="B7" s="337"/>
      <c r="C7" s="337"/>
      <c r="D7" s="337"/>
      <c r="E7" s="337"/>
      <c r="F7" s="18"/>
    </row>
    <row r="8" spans="1:5" ht="27" customHeight="1">
      <c r="A8" s="11"/>
      <c r="B8" s="336" t="s">
        <v>57</v>
      </c>
      <c r="C8" s="336"/>
      <c r="D8" s="336"/>
      <c r="E8" s="336"/>
    </row>
    <row r="9" spans="1:5" ht="18" customHeight="1">
      <c r="A9" s="334" t="s">
        <v>40</v>
      </c>
      <c r="B9" s="334"/>
      <c r="C9" s="334"/>
      <c r="D9" s="334"/>
      <c r="E9" s="334"/>
    </row>
    <row r="10" ht="18.75">
      <c r="A10" s="8"/>
    </row>
    <row r="11" spans="1:5" ht="56.25">
      <c r="A11" s="23" t="s">
        <v>31</v>
      </c>
      <c r="B11" s="24" t="s">
        <v>30</v>
      </c>
      <c r="C11" s="10" t="s">
        <v>34</v>
      </c>
      <c r="D11" s="10" t="s">
        <v>33</v>
      </c>
      <c r="E11" s="24" t="s">
        <v>13</v>
      </c>
    </row>
    <row r="12" spans="1:5" s="22" customFormat="1" ht="18.75">
      <c r="A12" s="9">
        <v>1</v>
      </c>
      <c r="B12" s="9">
        <v>2</v>
      </c>
      <c r="C12" s="9">
        <v>3</v>
      </c>
      <c r="D12" s="9">
        <v>4</v>
      </c>
      <c r="E12" s="9" t="s">
        <v>38</v>
      </c>
    </row>
    <row r="13" spans="1:5" ht="39" customHeight="1">
      <c r="A13" s="6">
        <v>1</v>
      </c>
      <c r="B13" s="7" t="s">
        <v>32</v>
      </c>
      <c r="C13" s="14"/>
      <c r="D13" s="16"/>
      <c r="E13" s="16"/>
    </row>
    <row r="14" spans="1:5" ht="45" customHeight="1">
      <c r="A14" s="6">
        <v>2</v>
      </c>
      <c r="B14" s="7" t="s">
        <v>51</v>
      </c>
      <c r="C14" s="14"/>
      <c r="D14" s="16"/>
      <c r="E14" s="16"/>
    </row>
    <row r="15" spans="1:5" ht="56.25">
      <c r="A15" s="6">
        <v>3</v>
      </c>
      <c r="B15" s="7" t="s">
        <v>52</v>
      </c>
      <c r="C15" s="14"/>
      <c r="D15" s="16"/>
      <c r="E15" s="16">
        <f>C15*D15</f>
        <v>0</v>
      </c>
    </row>
    <row r="16" spans="1:5" ht="75">
      <c r="A16" s="6">
        <v>4</v>
      </c>
      <c r="B16" s="7" t="s">
        <v>53</v>
      </c>
      <c r="C16" s="14"/>
      <c r="D16" s="16"/>
      <c r="E16" s="16">
        <f>C16*D16</f>
        <v>0</v>
      </c>
    </row>
    <row r="17" spans="1:5" s="3" customFormat="1" ht="27" customHeight="1">
      <c r="A17" s="4"/>
      <c r="B17" s="5" t="s">
        <v>29</v>
      </c>
      <c r="C17" s="17" t="s">
        <v>28</v>
      </c>
      <c r="D17" s="17" t="s">
        <v>28</v>
      </c>
      <c r="E17" s="15">
        <f>SUM(E13:E16)</f>
        <v>0</v>
      </c>
    </row>
    <row r="19" spans="2:15" ht="18.75">
      <c r="B19" s="1" t="s">
        <v>36</v>
      </c>
      <c r="C19" s="1" t="s">
        <v>46</v>
      </c>
      <c r="K19" s="13"/>
      <c r="L19" s="13"/>
      <c r="M19" s="13"/>
      <c r="N19" s="13"/>
      <c r="O19" s="13"/>
    </row>
    <row r="20" spans="2:15" ht="18.75">
      <c r="B20" s="1" t="s">
        <v>24</v>
      </c>
      <c r="C20" s="1" t="s">
        <v>11</v>
      </c>
      <c r="D20" s="1" t="s">
        <v>23</v>
      </c>
      <c r="K20" s="13"/>
      <c r="L20" s="13"/>
      <c r="M20" s="13"/>
      <c r="N20" s="13"/>
      <c r="O20" s="13"/>
    </row>
    <row r="21" spans="11:15" ht="18.75">
      <c r="K21" s="13"/>
      <c r="L21" s="13"/>
      <c r="M21" s="13"/>
      <c r="N21" s="13"/>
      <c r="O21" s="13"/>
    </row>
    <row r="22" spans="2:15" ht="18.75">
      <c r="B22" s="1" t="s">
        <v>37</v>
      </c>
      <c r="C22" s="1" t="s">
        <v>46</v>
      </c>
      <c r="K22" s="13"/>
      <c r="L22" s="13"/>
      <c r="M22" s="13"/>
      <c r="N22" s="13"/>
      <c r="O22" s="13"/>
    </row>
    <row r="23" spans="2:15" ht="18.75">
      <c r="B23" s="1" t="s">
        <v>24</v>
      </c>
      <c r="C23" s="1" t="s">
        <v>11</v>
      </c>
      <c r="D23" s="1" t="s">
        <v>23</v>
      </c>
      <c r="K23" s="13"/>
      <c r="L23" s="13"/>
      <c r="M23" s="13"/>
      <c r="N23" s="13"/>
      <c r="O23" s="13"/>
    </row>
    <row r="24" spans="11:15" ht="18.75">
      <c r="K24" s="13"/>
      <c r="L24" s="13"/>
      <c r="M24" s="13"/>
      <c r="N24" s="13"/>
      <c r="O24" s="13"/>
    </row>
  </sheetData>
  <sheetProtection/>
  <mergeCells count="6">
    <mergeCell ref="A4:E4"/>
    <mergeCell ref="A5:E5"/>
    <mergeCell ref="A6:E6"/>
    <mergeCell ref="A7:E7"/>
    <mergeCell ref="B8:E8"/>
    <mergeCell ref="A9:E9"/>
  </mergeCells>
  <printOptions/>
  <pageMargins left="0.7086614173228347" right="0.32" top="0.7480314960629921" bottom="0.7480314960629921" header="0.31496062992125984" footer="0.31496062992125984"/>
  <pageSetup fitToHeight="1" fitToWidth="1" horizontalDpi="600" verticalDpi="600" orientation="landscape" paperSize="9" scale="72" r:id="rId1"/>
</worksheet>
</file>

<file path=xl/worksheets/sheet6.xml><?xml version="1.0" encoding="utf-8"?>
<worksheet xmlns="http://schemas.openxmlformats.org/spreadsheetml/2006/main" xmlns:r="http://schemas.openxmlformats.org/officeDocument/2006/relationships">
  <sheetPr>
    <tabColor rgb="FFFFC000"/>
    <pageSetUpPr fitToPage="1"/>
  </sheetPr>
  <dimension ref="A1:O24"/>
  <sheetViews>
    <sheetView view="pageBreakPreview" zoomScale="60" zoomScaleNormal="70" zoomScalePageLayoutView="0" workbookViewId="0" topLeftCell="A1">
      <selection activeCell="B16" sqref="B16"/>
    </sheetView>
  </sheetViews>
  <sheetFormatPr defaultColWidth="9.140625" defaultRowHeight="15"/>
  <cols>
    <col min="1" max="1" width="7.421875" style="1" customWidth="1"/>
    <col min="2" max="2" width="69.00390625" style="1" customWidth="1"/>
    <col min="3" max="3" width="20.00390625" style="1" customWidth="1"/>
    <col min="4" max="4" width="19.28125" style="1" customWidth="1"/>
    <col min="5" max="5" width="23.57421875" style="1" customWidth="1"/>
    <col min="6" max="16384" width="9.140625" style="1" customWidth="1"/>
  </cols>
  <sheetData>
    <row r="1" ht="18.75">
      <c r="E1" s="2" t="s">
        <v>39</v>
      </c>
    </row>
    <row r="4" spans="1:5" ht="18.75">
      <c r="A4" s="331" t="s">
        <v>35</v>
      </c>
      <c r="B4" s="332"/>
      <c r="C4" s="332"/>
      <c r="D4" s="332"/>
      <c r="E4" s="332"/>
    </row>
    <row r="5" spans="1:5" ht="69" customHeight="1">
      <c r="A5" s="333"/>
      <c r="B5" s="333"/>
      <c r="C5" s="333"/>
      <c r="D5" s="333"/>
      <c r="E5" s="333"/>
    </row>
    <row r="6" spans="1:5" ht="27.75" customHeight="1">
      <c r="A6" s="335" t="s">
        <v>41</v>
      </c>
      <c r="B6" s="335"/>
      <c r="C6" s="335"/>
      <c r="D6" s="335"/>
      <c r="E6" s="335"/>
    </row>
    <row r="7" spans="1:6" ht="27.75" customHeight="1">
      <c r="A7" s="337" t="s">
        <v>56</v>
      </c>
      <c r="B7" s="337"/>
      <c r="C7" s="337"/>
      <c r="D7" s="337"/>
      <c r="E7" s="337"/>
      <c r="F7" s="18"/>
    </row>
    <row r="8" spans="1:5" ht="27" customHeight="1">
      <c r="A8" s="11"/>
      <c r="B8" s="336" t="s">
        <v>57</v>
      </c>
      <c r="C8" s="336"/>
      <c r="D8" s="336"/>
      <c r="E8" s="336"/>
    </row>
    <row r="9" spans="1:5" ht="18" customHeight="1">
      <c r="A9" s="334" t="s">
        <v>40</v>
      </c>
      <c r="B9" s="334"/>
      <c r="C9" s="334"/>
      <c r="D9" s="334"/>
      <c r="E9" s="334"/>
    </row>
    <row r="10" ht="18.75">
      <c r="A10" s="8"/>
    </row>
    <row r="11" spans="1:5" ht="56.25">
      <c r="A11" s="23" t="s">
        <v>31</v>
      </c>
      <c r="B11" s="24" t="s">
        <v>30</v>
      </c>
      <c r="C11" s="10" t="s">
        <v>34</v>
      </c>
      <c r="D11" s="10" t="s">
        <v>33</v>
      </c>
      <c r="E11" s="24" t="s">
        <v>13</v>
      </c>
    </row>
    <row r="12" spans="1:5" s="22" customFormat="1" ht="18.75">
      <c r="A12" s="9">
        <v>1</v>
      </c>
      <c r="B12" s="9">
        <v>2</v>
      </c>
      <c r="C12" s="9">
        <v>3</v>
      </c>
      <c r="D12" s="9">
        <v>4</v>
      </c>
      <c r="E12" s="9" t="s">
        <v>38</v>
      </c>
    </row>
    <row r="13" spans="1:5" ht="39" customHeight="1">
      <c r="A13" s="6">
        <v>1</v>
      </c>
      <c r="B13" s="7" t="s">
        <v>32</v>
      </c>
      <c r="C13" s="14"/>
      <c r="D13" s="16"/>
      <c r="E13" s="16"/>
    </row>
    <row r="14" spans="1:5" ht="45" customHeight="1">
      <c r="A14" s="6">
        <v>2</v>
      </c>
      <c r="B14" s="7" t="s">
        <v>51</v>
      </c>
      <c r="C14" s="14"/>
      <c r="D14" s="16"/>
      <c r="E14" s="16"/>
    </row>
    <row r="15" spans="1:5" ht="56.25">
      <c r="A15" s="6">
        <v>3</v>
      </c>
      <c r="B15" s="7" t="s">
        <v>52</v>
      </c>
      <c r="C15" s="14"/>
      <c r="D15" s="16"/>
      <c r="E15" s="16">
        <f>C15*D15</f>
        <v>0</v>
      </c>
    </row>
    <row r="16" spans="1:5" ht="75">
      <c r="A16" s="6">
        <v>4</v>
      </c>
      <c r="B16" s="7" t="s">
        <v>53</v>
      </c>
      <c r="C16" s="14"/>
      <c r="D16" s="16"/>
      <c r="E16" s="16">
        <f>C16*D16</f>
        <v>0</v>
      </c>
    </row>
    <row r="17" spans="1:5" s="3" customFormat="1" ht="27" customHeight="1">
      <c r="A17" s="4"/>
      <c r="B17" s="5" t="s">
        <v>29</v>
      </c>
      <c r="C17" s="17" t="s">
        <v>28</v>
      </c>
      <c r="D17" s="17" t="s">
        <v>28</v>
      </c>
      <c r="E17" s="15">
        <f>SUM(E13:E16)</f>
        <v>0</v>
      </c>
    </row>
    <row r="19" spans="2:15" ht="18.75">
      <c r="B19" s="1" t="s">
        <v>36</v>
      </c>
      <c r="C19" s="1" t="s">
        <v>46</v>
      </c>
      <c r="K19" s="13"/>
      <c r="L19" s="13"/>
      <c r="M19" s="13"/>
      <c r="N19" s="13"/>
      <c r="O19" s="13"/>
    </row>
    <row r="20" spans="2:15" ht="18.75">
      <c r="B20" s="1" t="s">
        <v>24</v>
      </c>
      <c r="C20" s="1" t="s">
        <v>11</v>
      </c>
      <c r="D20" s="1" t="s">
        <v>23</v>
      </c>
      <c r="K20" s="13"/>
      <c r="L20" s="13"/>
      <c r="M20" s="13"/>
      <c r="N20" s="13"/>
      <c r="O20" s="13"/>
    </row>
    <row r="21" spans="11:15" ht="18.75">
      <c r="K21" s="13"/>
      <c r="L21" s="13"/>
      <c r="M21" s="13"/>
      <c r="N21" s="13"/>
      <c r="O21" s="13"/>
    </row>
    <row r="22" spans="2:15" ht="18.75">
      <c r="B22" s="1" t="s">
        <v>37</v>
      </c>
      <c r="C22" s="1" t="s">
        <v>46</v>
      </c>
      <c r="K22" s="13"/>
      <c r="L22" s="13"/>
      <c r="M22" s="13"/>
      <c r="N22" s="13"/>
      <c r="O22" s="13"/>
    </row>
    <row r="23" spans="2:15" ht="18.75">
      <c r="B23" s="1" t="s">
        <v>24</v>
      </c>
      <c r="C23" s="1" t="s">
        <v>11</v>
      </c>
      <c r="D23" s="1" t="s">
        <v>23</v>
      </c>
      <c r="K23" s="13"/>
      <c r="L23" s="13"/>
      <c r="M23" s="13"/>
      <c r="N23" s="13"/>
      <c r="O23" s="13"/>
    </row>
    <row r="24" spans="11:15" ht="18.75">
      <c r="K24" s="13"/>
      <c r="L24" s="13"/>
      <c r="M24" s="13"/>
      <c r="N24" s="13"/>
      <c r="O24" s="13"/>
    </row>
  </sheetData>
  <sheetProtection/>
  <mergeCells count="6">
    <mergeCell ref="A4:E4"/>
    <mergeCell ref="A5:E5"/>
    <mergeCell ref="A6:E6"/>
    <mergeCell ref="A7:E7"/>
    <mergeCell ref="B8:E8"/>
    <mergeCell ref="A9:E9"/>
  </mergeCells>
  <printOptions/>
  <pageMargins left="0.7086614173228347" right="0.32" top="0.7480314960629921" bottom="0.7480314960629921" header="0.31496062992125984" footer="0.31496062992125984"/>
  <pageSetup fitToHeight="1" fitToWidth="1" horizontalDpi="600" verticalDpi="600" orientation="landscape" paperSize="9" scale="72" r:id="rId1"/>
</worksheet>
</file>

<file path=xl/worksheets/sheet7.xml><?xml version="1.0" encoding="utf-8"?>
<worksheet xmlns="http://schemas.openxmlformats.org/spreadsheetml/2006/main" xmlns:r="http://schemas.openxmlformats.org/officeDocument/2006/relationships">
  <sheetPr>
    <tabColor rgb="FFFFC000"/>
    <pageSetUpPr fitToPage="1"/>
  </sheetPr>
  <dimension ref="A1:O24"/>
  <sheetViews>
    <sheetView view="pageBreakPreview" zoomScale="60" zoomScaleNormal="70" zoomScalePageLayoutView="0" workbookViewId="0" topLeftCell="A1">
      <selection activeCell="B16" sqref="B16"/>
    </sheetView>
  </sheetViews>
  <sheetFormatPr defaultColWidth="9.140625" defaultRowHeight="15"/>
  <cols>
    <col min="1" max="1" width="7.421875" style="1" customWidth="1"/>
    <col min="2" max="2" width="69.00390625" style="1" customWidth="1"/>
    <col min="3" max="3" width="20.00390625" style="1" customWidth="1"/>
    <col min="4" max="4" width="19.28125" style="1" customWidth="1"/>
    <col min="5" max="5" width="23.57421875" style="1" customWidth="1"/>
    <col min="6" max="16384" width="9.140625" style="1" customWidth="1"/>
  </cols>
  <sheetData>
    <row r="1" ht="18.75">
      <c r="E1" s="2" t="s">
        <v>39</v>
      </c>
    </row>
    <row r="4" spans="1:5" ht="18.75">
      <c r="A4" s="331" t="s">
        <v>35</v>
      </c>
      <c r="B4" s="332"/>
      <c r="C4" s="332"/>
      <c r="D4" s="332"/>
      <c r="E4" s="332"/>
    </row>
    <row r="5" spans="1:5" ht="69" customHeight="1">
      <c r="A5" s="333"/>
      <c r="B5" s="333"/>
      <c r="C5" s="333"/>
      <c r="D5" s="333"/>
      <c r="E5" s="333"/>
    </row>
    <row r="6" spans="1:5" ht="27.75" customHeight="1">
      <c r="A6" s="335" t="s">
        <v>41</v>
      </c>
      <c r="B6" s="335"/>
      <c r="C6" s="335"/>
      <c r="D6" s="335"/>
      <c r="E6" s="335"/>
    </row>
    <row r="7" spans="1:6" ht="27.75" customHeight="1">
      <c r="A7" s="337" t="s">
        <v>54</v>
      </c>
      <c r="B7" s="337"/>
      <c r="C7" s="337"/>
      <c r="D7" s="337"/>
      <c r="E7" s="337"/>
      <c r="F7" s="18"/>
    </row>
    <row r="8" spans="1:6" ht="45.75" customHeight="1">
      <c r="A8" s="11"/>
      <c r="B8" s="338" t="s">
        <v>18</v>
      </c>
      <c r="C8" s="338"/>
      <c r="D8" s="338"/>
      <c r="E8" s="338"/>
      <c r="F8" s="338"/>
    </row>
    <row r="9" spans="1:5" ht="18" customHeight="1">
      <c r="A9" s="334" t="s">
        <v>40</v>
      </c>
      <c r="B9" s="334"/>
      <c r="C9" s="334"/>
      <c r="D9" s="334"/>
      <c r="E9" s="334"/>
    </row>
    <row r="10" ht="18.75">
      <c r="A10" s="8"/>
    </row>
    <row r="11" spans="1:5" ht="56.25">
      <c r="A11" s="23" t="s">
        <v>31</v>
      </c>
      <c r="B11" s="24" t="s">
        <v>30</v>
      </c>
      <c r="C11" s="10" t="s">
        <v>34</v>
      </c>
      <c r="D11" s="10" t="s">
        <v>33</v>
      </c>
      <c r="E11" s="24" t="s">
        <v>13</v>
      </c>
    </row>
    <row r="12" spans="1:5" s="22" customFormat="1" ht="18.75">
      <c r="A12" s="9">
        <v>1</v>
      </c>
      <c r="B12" s="9">
        <v>2</v>
      </c>
      <c r="C12" s="9">
        <v>3</v>
      </c>
      <c r="D12" s="9">
        <v>4</v>
      </c>
      <c r="E12" s="9" t="s">
        <v>38</v>
      </c>
    </row>
    <row r="13" spans="1:5" ht="39" customHeight="1">
      <c r="A13" s="6">
        <v>1</v>
      </c>
      <c r="B13" s="7" t="s">
        <v>32</v>
      </c>
      <c r="C13" s="14"/>
      <c r="D13" s="16"/>
      <c r="E13" s="16"/>
    </row>
    <row r="14" spans="1:5" ht="45" customHeight="1">
      <c r="A14" s="6">
        <v>2</v>
      </c>
      <c r="B14" s="7" t="s">
        <v>51</v>
      </c>
      <c r="C14" s="14"/>
      <c r="D14" s="16"/>
      <c r="E14" s="16"/>
    </row>
    <row r="15" spans="1:5" ht="56.25">
      <c r="A15" s="6">
        <v>3</v>
      </c>
      <c r="B15" s="7" t="s">
        <v>52</v>
      </c>
      <c r="C15" s="14"/>
      <c r="D15" s="16"/>
      <c r="E15" s="16">
        <f>C15*D15</f>
        <v>0</v>
      </c>
    </row>
    <row r="16" spans="1:5" ht="75">
      <c r="A16" s="6">
        <v>4</v>
      </c>
      <c r="B16" s="7" t="s">
        <v>53</v>
      </c>
      <c r="C16" s="14"/>
      <c r="D16" s="16"/>
      <c r="E16" s="16">
        <f>C16*D16</f>
        <v>0</v>
      </c>
    </row>
    <row r="17" spans="1:5" s="3" customFormat="1" ht="27" customHeight="1">
      <c r="A17" s="4"/>
      <c r="B17" s="5" t="s">
        <v>29</v>
      </c>
      <c r="C17" s="17" t="s">
        <v>28</v>
      </c>
      <c r="D17" s="17" t="s">
        <v>28</v>
      </c>
      <c r="E17" s="15">
        <f>SUM(E13:E16)</f>
        <v>0</v>
      </c>
    </row>
    <row r="19" spans="2:15" ht="18.75">
      <c r="B19" s="1" t="s">
        <v>36</v>
      </c>
      <c r="C19" s="1" t="s">
        <v>46</v>
      </c>
      <c r="K19" s="13"/>
      <c r="L19" s="13"/>
      <c r="M19" s="13"/>
      <c r="N19" s="13"/>
      <c r="O19" s="13"/>
    </row>
    <row r="20" spans="2:15" ht="18.75">
      <c r="B20" s="1" t="s">
        <v>24</v>
      </c>
      <c r="C20" s="1" t="s">
        <v>11</v>
      </c>
      <c r="D20" s="1" t="s">
        <v>23</v>
      </c>
      <c r="K20" s="13"/>
      <c r="L20" s="13"/>
      <c r="M20" s="13"/>
      <c r="N20" s="13"/>
      <c r="O20" s="13"/>
    </row>
    <row r="21" spans="11:15" ht="18.75">
      <c r="K21" s="13"/>
      <c r="L21" s="13"/>
      <c r="M21" s="13"/>
      <c r="N21" s="13"/>
      <c r="O21" s="13"/>
    </row>
    <row r="22" spans="2:15" ht="18.75">
      <c r="B22" s="1" t="s">
        <v>37</v>
      </c>
      <c r="C22" s="1" t="s">
        <v>46</v>
      </c>
      <c r="K22" s="13"/>
      <c r="L22" s="13"/>
      <c r="M22" s="13"/>
      <c r="N22" s="13"/>
      <c r="O22" s="13"/>
    </row>
    <row r="23" spans="2:15" ht="18.75">
      <c r="B23" s="1" t="s">
        <v>24</v>
      </c>
      <c r="C23" s="1" t="s">
        <v>11</v>
      </c>
      <c r="D23" s="1" t="s">
        <v>23</v>
      </c>
      <c r="K23" s="13"/>
      <c r="L23" s="13"/>
      <c r="M23" s="13"/>
      <c r="N23" s="13"/>
      <c r="O23" s="13"/>
    </row>
    <row r="24" spans="11:15" ht="18.75">
      <c r="K24" s="13"/>
      <c r="L24" s="13"/>
      <c r="M24" s="13"/>
      <c r="N24" s="13"/>
      <c r="O24" s="13"/>
    </row>
  </sheetData>
  <sheetProtection/>
  <mergeCells count="6">
    <mergeCell ref="A4:E4"/>
    <mergeCell ref="A5:E5"/>
    <mergeCell ref="A6:E6"/>
    <mergeCell ref="A7:E7"/>
    <mergeCell ref="A9:E9"/>
    <mergeCell ref="B8:F8"/>
  </mergeCells>
  <printOptions/>
  <pageMargins left="0.7086614173228347" right="0.32" top="0.7480314960629921" bottom="0.7480314960629921" header="0.31496062992125984" footer="0.31496062992125984"/>
  <pageSetup fitToHeight="1" fitToWidth="1" horizontalDpi="600" verticalDpi="600" orientation="landscape" paperSize="9" scale="70" r:id="rId1"/>
</worksheet>
</file>

<file path=xl/worksheets/sheet8.xml><?xml version="1.0" encoding="utf-8"?>
<worksheet xmlns="http://schemas.openxmlformats.org/spreadsheetml/2006/main" xmlns:r="http://schemas.openxmlformats.org/officeDocument/2006/relationships">
  <sheetPr>
    <tabColor rgb="FFFFC000"/>
    <pageSetUpPr fitToPage="1"/>
  </sheetPr>
  <dimension ref="A1:O24"/>
  <sheetViews>
    <sheetView view="pageBreakPreview" zoomScale="60" zoomScaleNormal="70" zoomScalePageLayoutView="0" workbookViewId="0" topLeftCell="A1">
      <selection activeCell="B16" sqref="B16"/>
    </sheetView>
  </sheetViews>
  <sheetFormatPr defaultColWidth="9.140625" defaultRowHeight="15"/>
  <cols>
    <col min="1" max="1" width="7.421875" style="1" customWidth="1"/>
    <col min="2" max="2" width="69.00390625" style="1" customWidth="1"/>
    <col min="3" max="3" width="20.00390625" style="1" customWidth="1"/>
    <col min="4" max="4" width="19.28125" style="1" customWidth="1"/>
    <col min="5" max="5" width="23.57421875" style="1" customWidth="1"/>
    <col min="6" max="16384" width="9.140625" style="1" customWidth="1"/>
  </cols>
  <sheetData>
    <row r="1" ht="18.75">
      <c r="E1" s="2" t="s">
        <v>39</v>
      </c>
    </row>
    <row r="4" spans="1:5" ht="18.75">
      <c r="A4" s="331" t="s">
        <v>35</v>
      </c>
      <c r="B4" s="332"/>
      <c r="C4" s="332"/>
      <c r="D4" s="332"/>
      <c r="E4" s="332"/>
    </row>
    <row r="5" spans="1:5" ht="69" customHeight="1">
      <c r="A5" s="333"/>
      <c r="B5" s="333"/>
      <c r="C5" s="333"/>
      <c r="D5" s="333"/>
      <c r="E5" s="333"/>
    </row>
    <row r="6" spans="1:5" ht="27.75" customHeight="1">
      <c r="A6" s="335" t="s">
        <v>41</v>
      </c>
      <c r="B6" s="335"/>
      <c r="C6" s="335"/>
      <c r="D6" s="335"/>
      <c r="E6" s="335"/>
    </row>
    <row r="7" spans="1:6" ht="27.75" customHeight="1">
      <c r="A7" s="337" t="s">
        <v>55</v>
      </c>
      <c r="B7" s="337"/>
      <c r="C7" s="337"/>
      <c r="D7" s="337"/>
      <c r="E7" s="337"/>
      <c r="F7" s="18"/>
    </row>
    <row r="8" spans="1:6" ht="45.75" customHeight="1">
      <c r="A8" s="11"/>
      <c r="B8" s="338" t="s">
        <v>18</v>
      </c>
      <c r="C8" s="338"/>
      <c r="D8" s="338"/>
      <c r="E8" s="338"/>
      <c r="F8" s="338"/>
    </row>
    <row r="9" spans="1:5" ht="18" customHeight="1">
      <c r="A9" s="334" t="s">
        <v>40</v>
      </c>
      <c r="B9" s="334"/>
      <c r="C9" s="334"/>
      <c r="D9" s="334"/>
      <c r="E9" s="334"/>
    </row>
    <row r="10" ht="18.75">
      <c r="A10" s="8"/>
    </row>
    <row r="11" spans="1:5" ht="56.25">
      <c r="A11" s="23" t="s">
        <v>31</v>
      </c>
      <c r="B11" s="24" t="s">
        <v>30</v>
      </c>
      <c r="C11" s="10" t="s">
        <v>34</v>
      </c>
      <c r="D11" s="10" t="s">
        <v>33</v>
      </c>
      <c r="E11" s="24" t="s">
        <v>13</v>
      </c>
    </row>
    <row r="12" spans="1:5" s="22" customFormat="1" ht="18.75">
      <c r="A12" s="9">
        <v>1</v>
      </c>
      <c r="B12" s="9">
        <v>2</v>
      </c>
      <c r="C12" s="9">
        <v>3</v>
      </c>
      <c r="D12" s="9">
        <v>4</v>
      </c>
      <c r="E12" s="9" t="s">
        <v>38</v>
      </c>
    </row>
    <row r="13" spans="1:5" ht="39" customHeight="1">
      <c r="A13" s="6">
        <v>1</v>
      </c>
      <c r="B13" s="7" t="s">
        <v>32</v>
      </c>
      <c r="C13" s="14"/>
      <c r="D13" s="16"/>
      <c r="E13" s="16"/>
    </row>
    <row r="14" spans="1:5" ht="45" customHeight="1">
      <c r="A14" s="6">
        <v>2</v>
      </c>
      <c r="B14" s="7" t="s">
        <v>51</v>
      </c>
      <c r="C14" s="14"/>
      <c r="D14" s="16"/>
      <c r="E14" s="16"/>
    </row>
    <row r="15" spans="1:5" ht="56.25">
      <c r="A15" s="6">
        <v>3</v>
      </c>
      <c r="B15" s="7" t="s">
        <v>52</v>
      </c>
      <c r="C15" s="14"/>
      <c r="D15" s="16"/>
      <c r="E15" s="16">
        <f>C15*D15</f>
        <v>0</v>
      </c>
    </row>
    <row r="16" spans="1:5" ht="75">
      <c r="A16" s="6">
        <v>4</v>
      </c>
      <c r="B16" s="7" t="s">
        <v>53</v>
      </c>
      <c r="C16" s="14"/>
      <c r="D16" s="16"/>
      <c r="E16" s="16">
        <f>C16*D16</f>
        <v>0</v>
      </c>
    </row>
    <row r="17" spans="1:5" s="3" customFormat="1" ht="27" customHeight="1">
      <c r="A17" s="4"/>
      <c r="B17" s="5" t="s">
        <v>29</v>
      </c>
      <c r="C17" s="17" t="s">
        <v>28</v>
      </c>
      <c r="D17" s="17" t="s">
        <v>28</v>
      </c>
      <c r="E17" s="15">
        <f>SUM(E13:E16)</f>
        <v>0</v>
      </c>
    </row>
    <row r="19" spans="2:15" ht="18.75">
      <c r="B19" s="1" t="s">
        <v>36</v>
      </c>
      <c r="C19" s="1" t="s">
        <v>46</v>
      </c>
      <c r="K19" s="13"/>
      <c r="L19" s="13"/>
      <c r="M19" s="13"/>
      <c r="N19" s="13"/>
      <c r="O19" s="13"/>
    </row>
    <row r="20" spans="2:15" ht="18.75">
      <c r="B20" s="1" t="s">
        <v>24</v>
      </c>
      <c r="C20" s="1" t="s">
        <v>11</v>
      </c>
      <c r="D20" s="1" t="s">
        <v>23</v>
      </c>
      <c r="K20" s="13"/>
      <c r="L20" s="13"/>
      <c r="M20" s="13"/>
      <c r="N20" s="13"/>
      <c r="O20" s="13"/>
    </row>
    <row r="21" spans="11:15" ht="18.75">
      <c r="K21" s="13"/>
      <c r="L21" s="13"/>
      <c r="M21" s="13"/>
      <c r="N21" s="13"/>
      <c r="O21" s="13"/>
    </row>
    <row r="22" spans="2:15" ht="18.75">
      <c r="B22" s="1" t="s">
        <v>37</v>
      </c>
      <c r="C22" s="1" t="s">
        <v>46</v>
      </c>
      <c r="K22" s="13"/>
      <c r="L22" s="13"/>
      <c r="M22" s="13"/>
      <c r="N22" s="13"/>
      <c r="O22" s="13"/>
    </row>
    <row r="23" spans="2:15" ht="18.75">
      <c r="B23" s="1" t="s">
        <v>24</v>
      </c>
      <c r="C23" s="1" t="s">
        <v>11</v>
      </c>
      <c r="D23" s="1" t="s">
        <v>23</v>
      </c>
      <c r="K23" s="13"/>
      <c r="L23" s="13"/>
      <c r="M23" s="13"/>
      <c r="N23" s="13"/>
      <c r="O23" s="13"/>
    </row>
    <row r="24" spans="11:15" ht="18.75">
      <c r="K24" s="13"/>
      <c r="L24" s="13"/>
      <c r="M24" s="13"/>
      <c r="N24" s="13"/>
      <c r="O24" s="13"/>
    </row>
  </sheetData>
  <sheetProtection/>
  <mergeCells count="6">
    <mergeCell ref="A4:E4"/>
    <mergeCell ref="A5:E5"/>
    <mergeCell ref="A6:E6"/>
    <mergeCell ref="A7:E7"/>
    <mergeCell ref="A9:E9"/>
    <mergeCell ref="B8:F8"/>
  </mergeCells>
  <printOptions/>
  <pageMargins left="0.7086614173228347" right="0.32" top="0.7480314960629921" bottom="0.7480314960629921" header="0.31496062992125984" footer="0.31496062992125984"/>
  <pageSetup fitToHeight="1" fitToWidth="1" horizontalDpi="600" verticalDpi="600" orientation="landscape" paperSize="9" scale="70" r:id="rId1"/>
</worksheet>
</file>

<file path=xl/worksheets/sheet9.xml><?xml version="1.0" encoding="utf-8"?>
<worksheet xmlns="http://schemas.openxmlformats.org/spreadsheetml/2006/main" xmlns:r="http://schemas.openxmlformats.org/officeDocument/2006/relationships">
  <sheetPr>
    <tabColor rgb="FFFFC000"/>
    <pageSetUpPr fitToPage="1"/>
  </sheetPr>
  <dimension ref="A1:O24"/>
  <sheetViews>
    <sheetView view="pageBreakPreview" zoomScale="60" zoomScaleNormal="70" zoomScalePageLayoutView="0" workbookViewId="0" topLeftCell="A1">
      <selection activeCell="B16" sqref="B16"/>
    </sheetView>
  </sheetViews>
  <sheetFormatPr defaultColWidth="9.140625" defaultRowHeight="15"/>
  <cols>
    <col min="1" max="1" width="7.421875" style="1" customWidth="1"/>
    <col min="2" max="2" width="69.00390625" style="1" customWidth="1"/>
    <col min="3" max="3" width="20.00390625" style="1" customWidth="1"/>
    <col min="4" max="4" width="19.28125" style="1" customWidth="1"/>
    <col min="5" max="5" width="23.57421875" style="1" customWidth="1"/>
    <col min="6" max="16384" width="9.140625" style="1" customWidth="1"/>
  </cols>
  <sheetData>
    <row r="1" ht="18.75">
      <c r="E1" s="2" t="s">
        <v>39</v>
      </c>
    </row>
    <row r="4" spans="1:5" ht="18.75">
      <c r="A4" s="331" t="s">
        <v>35</v>
      </c>
      <c r="B4" s="332"/>
      <c r="C4" s="332"/>
      <c r="D4" s="332"/>
      <c r="E4" s="332"/>
    </row>
    <row r="5" spans="1:5" ht="69" customHeight="1">
      <c r="A5" s="333"/>
      <c r="B5" s="333"/>
      <c r="C5" s="333"/>
      <c r="D5" s="333"/>
      <c r="E5" s="333"/>
    </row>
    <row r="6" spans="1:5" ht="27.75" customHeight="1">
      <c r="A6" s="335" t="s">
        <v>41</v>
      </c>
      <c r="B6" s="335"/>
      <c r="C6" s="335"/>
      <c r="D6" s="335"/>
      <c r="E6" s="335"/>
    </row>
    <row r="7" spans="1:6" ht="27.75" customHeight="1">
      <c r="A7" s="337" t="s">
        <v>56</v>
      </c>
      <c r="B7" s="337"/>
      <c r="C7" s="337"/>
      <c r="D7" s="337"/>
      <c r="E7" s="337"/>
      <c r="F7" s="18"/>
    </row>
    <row r="8" spans="1:6" ht="45.75" customHeight="1">
      <c r="A8" s="11"/>
      <c r="B8" s="338" t="s">
        <v>18</v>
      </c>
      <c r="C8" s="338"/>
      <c r="D8" s="338"/>
      <c r="E8" s="338"/>
      <c r="F8" s="338"/>
    </row>
    <row r="9" spans="1:5" ht="18" customHeight="1">
      <c r="A9" s="334" t="s">
        <v>40</v>
      </c>
      <c r="B9" s="334"/>
      <c r="C9" s="334"/>
      <c r="D9" s="334"/>
      <c r="E9" s="334"/>
    </row>
    <row r="10" ht="18.75">
      <c r="A10" s="8"/>
    </row>
    <row r="11" spans="1:5" ht="56.25">
      <c r="A11" s="23" t="s">
        <v>31</v>
      </c>
      <c r="B11" s="24" t="s">
        <v>30</v>
      </c>
      <c r="C11" s="10" t="s">
        <v>34</v>
      </c>
      <c r="D11" s="10" t="s">
        <v>33</v>
      </c>
      <c r="E11" s="24" t="s">
        <v>13</v>
      </c>
    </row>
    <row r="12" spans="1:5" s="22" customFormat="1" ht="18.75">
      <c r="A12" s="9">
        <v>1</v>
      </c>
      <c r="B12" s="9">
        <v>2</v>
      </c>
      <c r="C12" s="9">
        <v>3</v>
      </c>
      <c r="D12" s="9">
        <v>4</v>
      </c>
      <c r="E12" s="9" t="s">
        <v>38</v>
      </c>
    </row>
    <row r="13" spans="1:5" ht="39" customHeight="1">
      <c r="A13" s="6">
        <v>1</v>
      </c>
      <c r="B13" s="7" t="s">
        <v>32</v>
      </c>
      <c r="C13" s="14"/>
      <c r="D13" s="16"/>
      <c r="E13" s="16"/>
    </row>
    <row r="14" spans="1:5" ht="45" customHeight="1">
      <c r="A14" s="6">
        <v>2</v>
      </c>
      <c r="B14" s="7" t="s">
        <v>51</v>
      </c>
      <c r="C14" s="14"/>
      <c r="D14" s="16"/>
      <c r="E14" s="16"/>
    </row>
    <row r="15" spans="1:5" ht="56.25">
      <c r="A15" s="6">
        <v>3</v>
      </c>
      <c r="B15" s="7" t="s">
        <v>52</v>
      </c>
      <c r="C15" s="14"/>
      <c r="D15" s="16"/>
      <c r="E15" s="16">
        <f>C15*D15</f>
        <v>0</v>
      </c>
    </row>
    <row r="16" spans="1:5" ht="75">
      <c r="A16" s="6">
        <v>4</v>
      </c>
      <c r="B16" s="7" t="s">
        <v>53</v>
      </c>
      <c r="C16" s="14"/>
      <c r="D16" s="16"/>
      <c r="E16" s="16">
        <f>C16*D16</f>
        <v>0</v>
      </c>
    </row>
    <row r="17" spans="1:5" s="3" customFormat="1" ht="27" customHeight="1">
      <c r="A17" s="4"/>
      <c r="B17" s="5" t="s">
        <v>29</v>
      </c>
      <c r="C17" s="17" t="s">
        <v>28</v>
      </c>
      <c r="D17" s="17" t="s">
        <v>28</v>
      </c>
      <c r="E17" s="15">
        <f>SUM(E13:E16)</f>
        <v>0</v>
      </c>
    </row>
    <row r="19" spans="2:15" ht="18.75">
      <c r="B19" s="1" t="s">
        <v>36</v>
      </c>
      <c r="C19" s="1" t="s">
        <v>46</v>
      </c>
      <c r="K19" s="13"/>
      <c r="L19" s="13"/>
      <c r="M19" s="13"/>
      <c r="N19" s="13"/>
      <c r="O19" s="13"/>
    </row>
    <row r="20" spans="2:15" ht="18.75">
      <c r="B20" s="1" t="s">
        <v>24</v>
      </c>
      <c r="C20" s="1" t="s">
        <v>11</v>
      </c>
      <c r="D20" s="1" t="s">
        <v>23</v>
      </c>
      <c r="K20" s="13"/>
      <c r="L20" s="13"/>
      <c r="M20" s="13"/>
      <c r="N20" s="13"/>
      <c r="O20" s="13"/>
    </row>
    <row r="21" spans="11:15" ht="18.75">
      <c r="K21" s="13"/>
      <c r="L21" s="13"/>
      <c r="M21" s="13"/>
      <c r="N21" s="13"/>
      <c r="O21" s="13"/>
    </row>
    <row r="22" spans="2:15" ht="18.75">
      <c r="B22" s="1" t="s">
        <v>37</v>
      </c>
      <c r="C22" s="1" t="s">
        <v>46</v>
      </c>
      <c r="K22" s="13"/>
      <c r="L22" s="13"/>
      <c r="M22" s="13"/>
      <c r="N22" s="13"/>
      <c r="O22" s="13"/>
    </row>
    <row r="23" spans="2:15" ht="18.75">
      <c r="B23" s="1" t="s">
        <v>24</v>
      </c>
      <c r="C23" s="1" t="s">
        <v>11</v>
      </c>
      <c r="D23" s="1" t="s">
        <v>23</v>
      </c>
      <c r="K23" s="13"/>
      <c r="L23" s="13"/>
      <c r="M23" s="13"/>
      <c r="N23" s="13"/>
      <c r="O23" s="13"/>
    </row>
    <row r="24" spans="11:15" ht="18.75">
      <c r="K24" s="13"/>
      <c r="L24" s="13"/>
      <c r="M24" s="13"/>
      <c r="N24" s="13"/>
      <c r="O24" s="13"/>
    </row>
  </sheetData>
  <sheetProtection/>
  <mergeCells count="6">
    <mergeCell ref="A4:E4"/>
    <mergeCell ref="A5:E5"/>
    <mergeCell ref="A6:E6"/>
    <mergeCell ref="A7:E7"/>
    <mergeCell ref="A9:E9"/>
    <mergeCell ref="B8:F8"/>
  </mergeCells>
  <printOptions/>
  <pageMargins left="0.7086614173228347" right="0.32" top="0.7480314960629921" bottom="0.7480314960629921" header="0.31496062992125984" footer="0.31496062992125984"/>
  <pageSetup fitToHeight="1" fitToWidth="1"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Шульга Любовь Александровна</dc:creator>
  <cp:keywords/>
  <dc:description/>
  <cp:lastModifiedBy>comp3</cp:lastModifiedBy>
  <cp:lastPrinted>2023-06-06T08:18:57Z</cp:lastPrinted>
  <dcterms:created xsi:type="dcterms:W3CDTF">2016-05-04T07:58:02Z</dcterms:created>
  <dcterms:modified xsi:type="dcterms:W3CDTF">2023-09-06T13:39:09Z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